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99A6AA5E-5AED-4C81-8033-02FC4754DAE8}" xr6:coauthVersionLast="46" xr6:coauthVersionMax="46" xr10:uidLastSave="{00000000-0000-0000-0000-000000000000}"/>
  <bookViews>
    <workbookView xWindow="2910" yWindow="291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Лист1!$A$10:$O$141</definedName>
  </definedNames>
  <calcPr calcId="191029"/>
</workbook>
</file>

<file path=xl/calcChain.xml><?xml version="1.0" encoding="utf-8"?>
<calcChain xmlns="http://schemas.openxmlformats.org/spreadsheetml/2006/main">
  <c r="H2539" i="1" l="1"/>
  <c r="H2538" i="1"/>
  <c r="H2537" i="1"/>
  <c r="H2536" i="1"/>
  <c r="H2535" i="1"/>
  <c r="H2534" i="1"/>
  <c r="H2533" i="1"/>
  <c r="H2532" i="1"/>
  <c r="H2531" i="1"/>
  <c r="H2525" i="1"/>
  <c r="H2524" i="1"/>
  <c r="H2523" i="1"/>
  <c r="H2530" i="1"/>
  <c r="H2529" i="1"/>
  <c r="H2528" i="1"/>
  <c r="H2527" i="1"/>
  <c r="H2526" i="1"/>
  <c r="H2522" i="1"/>
  <c r="H2521" i="1"/>
  <c r="H2516" i="1"/>
  <c r="H2515" i="1"/>
  <c r="H2514" i="1"/>
  <c r="H2513" i="1"/>
  <c r="H2520" i="1"/>
  <c r="H2519" i="1"/>
  <c r="H2518" i="1"/>
  <c r="H2517" i="1"/>
  <c r="H2512" i="1"/>
  <c r="H2511" i="1"/>
  <c r="H2510" i="1"/>
  <c r="H2508" i="1"/>
  <c r="H2507" i="1"/>
  <c r="H2509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88" i="1"/>
  <c r="H2491" i="1"/>
  <c r="H2490" i="1"/>
  <c r="H2489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87" i="1"/>
  <c r="H2386" i="1"/>
  <c r="H2385" i="1"/>
  <c r="H2384" i="1"/>
  <c r="H2383" i="1"/>
  <c r="H2394" i="1"/>
  <c r="H2393" i="1"/>
  <c r="H2392" i="1"/>
  <c r="H2391" i="1"/>
  <c r="H2390" i="1"/>
  <c r="H2389" i="1"/>
  <c r="H2388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17" i="1"/>
  <c r="H2316" i="1"/>
  <c r="H2315" i="1"/>
  <c r="H2314" i="1"/>
  <c r="H2324" i="1"/>
  <c r="H2323" i="1"/>
  <c r="H2322" i="1"/>
  <c r="H2321" i="1"/>
  <c r="H2320" i="1"/>
  <c r="H2319" i="1"/>
  <c r="H2318" i="1"/>
  <c r="H2313" i="1"/>
  <c r="H2312" i="1"/>
  <c r="H2311" i="1"/>
  <c r="H2310" i="1"/>
  <c r="H2309" i="1"/>
  <c r="H2308" i="1"/>
  <c r="H2307" i="1"/>
  <c r="H2306" i="1"/>
  <c r="H2305" i="1"/>
  <c r="H2304" i="1"/>
  <c r="H2303" i="1"/>
  <c r="H2301" i="1"/>
  <c r="H2300" i="1"/>
  <c r="H2299" i="1"/>
  <c r="H2298" i="1"/>
  <c r="H2297" i="1"/>
  <c r="H2296" i="1"/>
  <c r="H2295" i="1"/>
  <c r="H2294" i="1"/>
  <c r="H2302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2" i="1"/>
  <c r="H2253" i="1"/>
  <c r="H2251" i="1"/>
  <c r="H2250" i="1"/>
  <c r="H2249" i="1"/>
  <c r="H2248" i="1"/>
  <c r="H2247" i="1"/>
  <c r="H2243" i="1"/>
  <c r="H2242" i="1"/>
  <c r="H2246" i="1"/>
  <c r="H2245" i="1"/>
  <c r="H2244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41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1997" i="1"/>
  <c r="H1996" i="1"/>
  <c r="H1995" i="1"/>
  <c r="H1994" i="1"/>
  <c r="H2001" i="1"/>
  <c r="H2000" i="1"/>
  <c r="H1999" i="1"/>
  <c r="H1998" i="1"/>
  <c r="H1993" i="1"/>
  <c r="H1992" i="1"/>
  <c r="H1991" i="1"/>
  <c r="H1990" i="1"/>
  <c r="H1970" i="1"/>
  <c r="H1969" i="1"/>
  <c r="H1986" i="1"/>
  <c r="H1985" i="1"/>
  <c r="H1989" i="1"/>
  <c r="H1988" i="1"/>
  <c r="H1987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7" i="1"/>
  <c r="H1938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15" i="1"/>
  <c r="H1921" i="1"/>
  <c r="H1920" i="1"/>
  <c r="H1919" i="1"/>
  <c r="H1918" i="1"/>
  <c r="H1917" i="1"/>
  <c r="H1916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6" i="1"/>
  <c r="H1835" i="1"/>
  <c r="H1834" i="1"/>
  <c r="H1833" i="1"/>
  <c r="H1832" i="1"/>
  <c r="H1831" i="1"/>
  <c r="H1830" i="1"/>
  <c r="H1829" i="1"/>
  <c r="H1828" i="1"/>
  <c r="H1827" i="1"/>
  <c r="H1838" i="1"/>
  <c r="H1837" i="1"/>
  <c r="H1826" i="1"/>
  <c r="H1825" i="1"/>
  <c r="H1824" i="1"/>
  <c r="H1823" i="1"/>
  <c r="H1822" i="1"/>
  <c r="H1821" i="1"/>
  <c r="H1820" i="1"/>
  <c r="H1818" i="1"/>
  <c r="H1819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52" i="1"/>
  <c r="H1749" i="1"/>
  <c r="H1748" i="1"/>
  <c r="H1747" i="1"/>
  <c r="H1746" i="1"/>
  <c r="H1754" i="1"/>
  <c r="H1753" i="1"/>
  <c r="H1751" i="1"/>
  <c r="H1750" i="1"/>
  <c r="H1745" i="1"/>
  <c r="H1744" i="1"/>
  <c r="H1743" i="1"/>
  <c r="H1742" i="1"/>
  <c r="H1741" i="1"/>
  <c r="H1740" i="1"/>
  <c r="H1739" i="1"/>
  <c r="H1727" i="1"/>
  <c r="H1726" i="1"/>
  <c r="H1725" i="1"/>
  <c r="H1738" i="1"/>
  <c r="H1737" i="1"/>
  <c r="H1736" i="1"/>
  <c r="H1735" i="1"/>
  <c r="H1734" i="1"/>
  <c r="H1733" i="1"/>
  <c r="H1732" i="1"/>
  <c r="H1731" i="1"/>
  <c r="H1730" i="1"/>
  <c r="H1729" i="1"/>
  <c r="H1728" i="1"/>
  <c r="H1724" i="1"/>
  <c r="H1723" i="1"/>
  <c r="H1722" i="1"/>
  <c r="H1721" i="1"/>
  <c r="H1720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0" i="1"/>
  <c r="H1679" i="1"/>
  <c r="H1678" i="1"/>
  <c r="H1677" i="1"/>
  <c r="H1676" i="1"/>
  <c r="H1681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44" i="1"/>
  <c r="H1643" i="1"/>
  <c r="H1642" i="1"/>
  <c r="H1641" i="1"/>
  <c r="H1640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4" i="1"/>
  <c r="H1627" i="1"/>
  <c r="H1626" i="1"/>
  <c r="H1625" i="1"/>
  <c r="H1623" i="1"/>
  <c r="H1622" i="1"/>
  <c r="H1621" i="1"/>
  <c r="H1620" i="1"/>
  <c r="H1619" i="1"/>
  <c r="H1618" i="1"/>
  <c r="H1617" i="1"/>
  <c r="H1616" i="1"/>
  <c r="H1614" i="1"/>
  <c r="H1615" i="1"/>
  <c r="H1613" i="1"/>
  <c r="H1610" i="1"/>
  <c r="H1612" i="1"/>
  <c r="H1611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1" i="1"/>
  <c r="H1512" i="1"/>
  <c r="H1510" i="1"/>
  <c r="H1509" i="1"/>
  <c r="H1508" i="1"/>
  <c r="H1863" i="1"/>
  <c r="H1862" i="1"/>
  <c r="H1861" i="1"/>
  <c r="H1860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26" i="1"/>
  <c r="H1425" i="1"/>
  <c r="H1424" i="1"/>
  <c r="H1431" i="1"/>
  <c r="H1430" i="1"/>
  <c r="H1429" i="1"/>
  <c r="H1428" i="1"/>
  <c r="H1427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6" i="1"/>
  <c r="H1237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2" i="1"/>
  <c r="H1061" i="1"/>
  <c r="H1063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994" i="1"/>
  <c r="H993" i="1"/>
  <c r="H992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86" i="1"/>
  <c r="H991" i="1"/>
  <c r="H990" i="1"/>
  <c r="H989" i="1"/>
  <c r="H988" i="1"/>
  <c r="H987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59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5" i="1"/>
  <c r="H746" i="1"/>
  <c r="H744" i="1"/>
  <c r="H743" i="1"/>
  <c r="H742" i="1"/>
  <c r="H741" i="1"/>
  <c r="H740" i="1"/>
  <c r="H739" i="1"/>
  <c r="H738" i="1"/>
  <c r="H737" i="1"/>
  <c r="H736" i="1"/>
  <c r="H734" i="1"/>
  <c r="H733" i="1"/>
  <c r="H735" i="1"/>
  <c r="H732" i="1"/>
  <c r="H731" i="1"/>
  <c r="H730" i="1"/>
  <c r="H729" i="1"/>
  <c r="H728" i="1"/>
  <c r="H727" i="1"/>
  <c r="H726" i="1"/>
  <c r="H723" i="1"/>
  <c r="H722" i="1"/>
  <c r="H725" i="1"/>
  <c r="H724" i="1"/>
  <c r="H687" i="1"/>
  <c r="H686" i="1"/>
  <c r="H685" i="1"/>
  <c r="H684" i="1"/>
  <c r="H721" i="1"/>
  <c r="H720" i="1"/>
  <c r="H719" i="1"/>
  <c r="H718" i="1"/>
  <c r="H717" i="1"/>
  <c r="H716" i="1"/>
  <c r="H715" i="1"/>
  <c r="H713" i="1"/>
  <c r="H712" i="1"/>
  <c r="H711" i="1"/>
  <c r="H714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47" i="1"/>
  <c r="H646" i="1"/>
  <c r="H650" i="1"/>
  <c r="H649" i="1"/>
  <c r="H648" i="1"/>
  <c r="H645" i="1"/>
  <c r="H644" i="1"/>
  <c r="H642" i="1"/>
  <c r="H643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623" i="1"/>
  <c r="H622" i="1"/>
  <c r="H621" i="1"/>
  <c r="H620" i="1"/>
  <c r="H619" i="1"/>
  <c r="H618" i="1"/>
  <c r="H617" i="1"/>
  <c r="H616" i="1"/>
  <c r="H61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73" i="1"/>
  <c r="H582" i="1"/>
  <c r="H581" i="1"/>
  <c r="H580" i="1"/>
  <c r="H579" i="1"/>
  <c r="H578" i="1"/>
  <c r="H577" i="1"/>
  <c r="H576" i="1"/>
  <c r="H575" i="1"/>
  <c r="H574" i="1"/>
  <c r="H572" i="1"/>
  <c r="H571" i="1"/>
  <c r="H570" i="1"/>
  <c r="H544" i="1"/>
  <c r="H543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0" i="1"/>
  <c r="H499" i="1"/>
  <c r="H502" i="1"/>
  <c r="H501" i="1"/>
  <c r="H498" i="1"/>
  <c r="H497" i="1"/>
  <c r="H496" i="1"/>
  <c r="H495" i="1"/>
  <c r="H494" i="1"/>
  <c r="H493" i="1"/>
  <c r="H521" i="1"/>
  <c r="H520" i="1"/>
  <c r="H519" i="1"/>
  <c r="H518" i="1"/>
  <c r="H517" i="1"/>
  <c r="H516" i="1"/>
  <c r="H419" i="1"/>
  <c r="H418" i="1"/>
  <c r="H417" i="1"/>
  <c r="H416" i="1"/>
  <c r="H415" i="1"/>
  <c r="H414" i="1"/>
  <c r="H413" i="1"/>
  <c r="H412" i="1"/>
  <c r="H411" i="1"/>
  <c r="H492" i="1"/>
  <c r="H491" i="1"/>
  <c r="H490" i="1"/>
  <c r="H489" i="1"/>
  <c r="H488" i="1"/>
  <c r="H487" i="1"/>
  <c r="H486" i="1"/>
  <c r="H481" i="1"/>
  <c r="H480" i="1"/>
  <c r="H479" i="1"/>
  <c r="H478" i="1"/>
  <c r="H477" i="1"/>
  <c r="H476" i="1"/>
  <c r="H475" i="1"/>
  <c r="H474" i="1"/>
  <c r="H473" i="1"/>
  <c r="H485" i="1"/>
  <c r="H484" i="1"/>
  <c r="H483" i="1"/>
  <c r="H482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79" i="1"/>
  <c r="H186" i="1"/>
  <c r="H185" i="1"/>
  <c r="H184" i="1"/>
  <c r="H183" i="1"/>
  <c r="H182" i="1"/>
  <c r="H181" i="1"/>
  <c r="H180" i="1"/>
  <c r="H178" i="1"/>
  <c r="H176" i="1"/>
  <c r="H175" i="1"/>
  <c r="H177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28" i="1"/>
  <c r="H27" i="1"/>
  <c r="H26" i="1"/>
  <c r="H33" i="1"/>
  <c r="H32" i="1"/>
  <c r="H31" i="1"/>
  <c r="H30" i="1"/>
  <c r="H29" i="1"/>
  <c r="H25" i="1"/>
  <c r="H24" i="1"/>
  <c r="H23" i="1"/>
  <c r="H22" i="1"/>
  <c r="H20" i="1"/>
  <c r="H18" i="1"/>
  <c r="H19" i="1"/>
  <c r="H16" i="1"/>
  <c r="H17" i="1"/>
  <c r="H21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<sst xmlns="http://schemas.openxmlformats.org/spreadsheetml/2006/main" count="7547" uniqueCount="5085">
  <si>
    <t>№ п/п</t>
  </si>
  <si>
    <t>Торговая марка</t>
  </si>
  <si>
    <t>Наименование товара</t>
  </si>
  <si>
    <t>Кол-во в уп-ке</t>
  </si>
  <si>
    <t>Цена без НДС</t>
  </si>
  <si>
    <t>Цена с НДС</t>
  </si>
  <si>
    <t>Штрих-код</t>
  </si>
  <si>
    <t>Описание</t>
  </si>
  <si>
    <t>"Гамма"</t>
  </si>
  <si>
    <t>ErichKrause</t>
  </si>
  <si>
    <t>Лилия Холдинг</t>
  </si>
  <si>
    <t>"ДПС"</t>
  </si>
  <si>
    <t>deVENTE</t>
  </si>
  <si>
    <t>ArtSpace</t>
  </si>
  <si>
    <t>Зроблена у Беларусi</t>
  </si>
  <si>
    <t>Schreiber</t>
  </si>
  <si>
    <t>TUKZAR</t>
  </si>
  <si>
    <t>Berlingo</t>
  </si>
  <si>
    <t>Антистеплер Berlingo, ассорти с фиксатором, блистер с е/п арт.DSa_00019</t>
  </si>
  <si>
    <t>4260107468189</t>
  </si>
  <si>
    <t>OfficeSpace</t>
  </si>
  <si>
    <t>"Centropen"</t>
  </si>
  <si>
    <t>Баллончики для перьевой ручки синие 6шт./уп. (цена за 6 балл.) арт.0019CE</t>
  </si>
  <si>
    <t>8595013600474</t>
  </si>
  <si>
    <t>"KOH-I-NOOR"</t>
  </si>
  <si>
    <t>Баллончики для перьевой ручки черные 7шт./уп  L 100мм (цена за 7 балл.) арт.141607</t>
  </si>
  <si>
    <t>8593540027627</t>
  </si>
  <si>
    <t>Батарейка ANSMANN CR2032/1  Lithium Coin Cell (3V) в блистере арт.5020122</t>
  </si>
  <si>
    <t>4013674502011</t>
  </si>
  <si>
    <t>Батарейка Alkaline Xpower-1.5V AA-bl2  блистер по 2шт. (LR06) арт.5015613</t>
  </si>
  <si>
    <t>4013674003785</t>
  </si>
  <si>
    <t>Батарейка Alkaline Xpower-1.5V AAA-bl2  блистер по 2шт. (LR03) арт.5015603</t>
  </si>
  <si>
    <t>4013674003778</t>
  </si>
  <si>
    <t>Батарейка Alkaline-red-1.5V-AA-BL4  блистер по 4шт. (LR06) арт.5015563</t>
  </si>
  <si>
    <t>4013674005529</t>
  </si>
  <si>
    <t>Батарейка Alkaline-red-1.5V-AAA-BL4  блистер по 4шт. (LR03) арт.5015553</t>
  </si>
  <si>
    <t>4013674005512</t>
  </si>
  <si>
    <t>Батарейка Alkaline-red-9V E блистер по 1 шт. (Крона) арт.1515-0000</t>
  </si>
  <si>
    <t>4013674007509</t>
  </si>
  <si>
    <t>Батарейка RED Alkaline Micro AAAx1 блистер по 1шт. (LR03) арт.1511-0011</t>
  </si>
  <si>
    <t>4013674033263</t>
  </si>
  <si>
    <t>Батарейка RED Alkaline Mignon AAx1 блистер по 1шт. (LR06) арт.1512-0021</t>
  </si>
  <si>
    <t>4013674033249</t>
  </si>
  <si>
    <t>Бейдж ВК вертикальный с клипсой на зеленой ленте (цена за уп. 10 шт) арт.1065 ВК</t>
  </si>
  <si>
    <t>4607031182994</t>
  </si>
  <si>
    <t>Бейдж ВК вертикальный с клипсой на красной ленте (цена за уп. 10шт) арт.1065 ВК</t>
  </si>
  <si>
    <t>4607031182987</t>
  </si>
  <si>
    <t>Бейдж ГК горизонтальный с клипсой на зеленой ленте (цена за уп. 10 шт) арт.1065 ГК</t>
  </si>
  <si>
    <t>4607031182604</t>
  </si>
  <si>
    <t>Бейдж ГК горизонтальный с клипсой на красной ленте (цена за уп. 10 шт) арт.1065ГК</t>
  </si>
  <si>
    <t>4607031182598</t>
  </si>
  <si>
    <t>Бейдж ГК горизонтальный с клипсой на синей ленте (цена за уп. 10шт) арт.1065 ГК</t>
  </si>
  <si>
    <t>4607031182314</t>
  </si>
  <si>
    <t>Бейдж вертикальный на красном шнуре (цена за уп. 10шт) арт.1427.В-102</t>
  </si>
  <si>
    <t>4607031187685</t>
  </si>
  <si>
    <t>Бейдж вертикальный на синем шнуре (цена за уп. 10шт) арт.1427.В-101</t>
  </si>
  <si>
    <t>4607031187661</t>
  </si>
  <si>
    <t>Бейдж горизонтальный на зеленом шнуре (цена за уп. 10 шт) арт.1426.Г-108</t>
  </si>
  <si>
    <t>4607031187609</t>
  </si>
  <si>
    <t>Бейдж горизонтальный на красном шнуре (цена за уп 10шт.) арт.1426.Г-102</t>
  </si>
  <si>
    <t>4607031187647</t>
  </si>
  <si>
    <t>Бейдж горизонтальный на синем шнуре (цена за уп. 10шт) арт.1426.Г-101</t>
  </si>
  <si>
    <t>4607031187623</t>
  </si>
  <si>
    <t>Attomex</t>
  </si>
  <si>
    <t>Бирка нагрудная Attomex "Бейдж" с клипом и булавкой 60x90мм арт.4010500</t>
  </si>
  <si>
    <t>4627102056597</t>
  </si>
  <si>
    <t>"СТАММ"</t>
  </si>
  <si>
    <t>Блок для заметок белый 9*9*5 в прозрачном пластбоксе арт.ПВ61</t>
  </si>
  <si>
    <t>4620000636885</t>
  </si>
  <si>
    <t>Блок для заметок белый 9*9*9 арт.Б305</t>
  </si>
  <si>
    <t>4620000637516</t>
  </si>
  <si>
    <t>Блок для заметок белый эконом, 9*9*5 "Attomex" непроклеенный, плотность 70 г/м2, белизна 70%  арт.2012406</t>
  </si>
  <si>
    <t>4627093351718</t>
  </si>
  <si>
    <t>Блок для заметок цветной 9*9*5 ErichKrause в пластбоксе арт.5141</t>
  </si>
  <si>
    <t>4601921051414</t>
  </si>
  <si>
    <t>Блок для флипчарта deVENTE 64*96,6см, 20 листов в клетку, 80 г/м2, белый арт.6040400</t>
  </si>
  <si>
    <t>4627093351473</t>
  </si>
  <si>
    <t>Блок для флипчарта deVENTE 64*96,6см, 20 листов, 80 г/м2, белый арт.6040401</t>
  </si>
  <si>
    <t>4627093351480</t>
  </si>
  <si>
    <t>Блок сменный А4 80л для тетрадей на кольцах OfficeSpace, белый арт.СБ4к80_9303</t>
  </si>
  <si>
    <t>4680211073039</t>
  </si>
  <si>
    <t>Блок сменный А5 80л для тетрадей на кольцах OfficeSpace, голубой арт.СБц80_220</t>
  </si>
  <si>
    <t>4610008522204</t>
  </si>
  <si>
    <t>Блок сменный А5 80л для тетрадей на кольцах OfficeSpace, желтый арт.СБц80_217</t>
  </si>
  <si>
    <t>4610008522174</t>
  </si>
  <si>
    <t>Блок сменный А5 80л для тетрадей на кольцах OfficeSpace, розовый арт.СБц80_219</t>
  </si>
  <si>
    <t>4610008522198</t>
  </si>
  <si>
    <t>"ПОЛИГРАФИКА"</t>
  </si>
  <si>
    <t>Блок сменный А5 80л для тетрадей на кольцах, белый арт.20708</t>
  </si>
  <si>
    <t>4601921207088</t>
  </si>
  <si>
    <t>Блокнот А4 80л с верх.спир. "Yellow Block", желтый внутр. блок в клетку арт. 20358</t>
  </si>
  <si>
    <t>4601921203585</t>
  </si>
  <si>
    <t>Блокнот А5 40л на гребне "Моноколор. Office style" в клетку арт.Б5к40гр_16789</t>
  </si>
  <si>
    <t>4680211147891</t>
  </si>
  <si>
    <t>Блокнот А5 40л на гребне "Офис. Яркие краски" в клетку арт.Б5к40гр_16791</t>
  </si>
  <si>
    <t>4680211147914</t>
  </si>
  <si>
    <t>Блокнот А5 40л на гребне "Путешествия. Приключения рядом" в клетку арт.Б5к40гр_16793</t>
  </si>
  <si>
    <t>4680211147938</t>
  </si>
  <si>
    <t>Блокнот А5 60л  "ЖЕЛТЫЙ БЛОК"  желтый внутр.блок в клетку клеевое скрепление  арт.26516к</t>
  </si>
  <si>
    <t>4601921265163</t>
  </si>
  <si>
    <t>Блокнот А5 60л на гребне "Моноколор. Simple modern" в клетку, твердая подложка арт.Б5к60гр_22525</t>
  </si>
  <si>
    <t>4680211205256</t>
  </si>
  <si>
    <t>Блокнот А5 60л на гребне "Путешествия. Sky landscape" в клетку, твердая подложка арт.Б5к60гр_22519</t>
  </si>
  <si>
    <t>4680211205195</t>
  </si>
  <si>
    <t>Блокнот А5 60л на гребне "Стиль. Beauty style" в клетку, твердая подложка арт.Б5к60гр_22528</t>
  </si>
  <si>
    <t>4680211205287</t>
  </si>
  <si>
    <t>Блокнот А5 60л с верх. спир. "Yellow Block"  желтый внутр.блок в клетку, микроперфорация арт.20357</t>
  </si>
  <si>
    <t>4601921203578</t>
  </si>
  <si>
    <t>4680211205218</t>
  </si>
  <si>
    <t>Блокнот А5 80л на гребне "Стиль. Модные артефакты" в клетку, твердая подложка арт.Б5к80гр_22524</t>
  </si>
  <si>
    <t>4680211205249</t>
  </si>
  <si>
    <t>Блокнот А5 80л на гребне "Цветы. Leaves and Flowers" в клетку, твердая подложка арт.Б5к80гр_22523</t>
  </si>
  <si>
    <t>4680211205232</t>
  </si>
  <si>
    <t>Блокнот А5 80л на скрепке "Моноколор. Офис" в клетку арт.Б5к80_10310</t>
  </si>
  <si>
    <t>4680211083106</t>
  </si>
  <si>
    <t>Брелок для ключей Attomex, цвета ассорти арт.4050300</t>
  </si>
  <si>
    <t>4627077800836</t>
  </si>
  <si>
    <t>International Paper</t>
  </si>
  <si>
    <t>Бумага Ballet Classic ColorLok А4, 80г/м2 500л арт.Россия</t>
  </si>
  <si>
    <t>4605817123100</t>
  </si>
  <si>
    <t>Бумага Ballet Premier ColorLok А4, 80г/м2 500л арт.Россия</t>
  </si>
  <si>
    <t>4605817103102</t>
  </si>
  <si>
    <t>Бумага Ballet Universal  ColorLokА4, 80г/м2 500л арт.Россия</t>
  </si>
  <si>
    <t>4605817133109</t>
  </si>
  <si>
    <t>Бумага Captain Laser -jet New А4 (класс А) арт.CLASJA4</t>
  </si>
  <si>
    <t>4605817107100</t>
  </si>
  <si>
    <t>Forpus</t>
  </si>
  <si>
    <t>Бумага Forpus PLATINUM А4, 80г/м2 500л арт.F040100</t>
  </si>
  <si>
    <t>4750650401004</t>
  </si>
  <si>
    <t>The Navigator Company</t>
  </si>
  <si>
    <t>Бумага Navigator Colour Doc А4, 120г/м2 250л арт.NAVIGATOR Colour Doc</t>
  </si>
  <si>
    <t>5602024104891</t>
  </si>
  <si>
    <t>"Бумаж. продукция"</t>
  </si>
  <si>
    <t>Бумага Navigator Universal А4, 80г/м2 500л арт.NAVIGATOR</t>
  </si>
  <si>
    <t>5602024006102</t>
  </si>
  <si>
    <t>Бумага SvetoCopy А4 арт.SCNA4</t>
  </si>
  <si>
    <t>4605817132102</t>
  </si>
  <si>
    <t>XEROX</t>
  </si>
  <si>
    <t>Бумага Xerox Office А4 500л 80г/м2 для офисной техники арт.XO</t>
  </si>
  <si>
    <t>5017534118205</t>
  </si>
  <si>
    <t>Бумага Xerox Performer А4 500л 80г/м2 для офисной техники арт.XP</t>
  </si>
  <si>
    <t>5017534906499</t>
  </si>
  <si>
    <t>Бумага А3 Ballet Classic ColorLok  80г/м2 500л арт.А3cl</t>
  </si>
  <si>
    <t>4605817123209</t>
  </si>
  <si>
    <t>Clairefontaine</t>
  </si>
  <si>
    <t>Бумага А4 "DCP" CF, 160г/м2 250л арт.1842</t>
  </si>
  <si>
    <t>3329680184204</t>
  </si>
  <si>
    <t>Бумага А4 "DCP" CF, 250г/м2 125л арт.1857</t>
  </si>
  <si>
    <t>3329680185706</t>
  </si>
  <si>
    <t>Бумага А4 "DCP" CF, 350г/м2 125л арт.3806</t>
  </si>
  <si>
    <t>3329680380606</t>
  </si>
  <si>
    <t>Кондопога</t>
  </si>
  <si>
    <t>Бумага А4 500л белая писчая, 48,8 г/м2, потребительская арт.066393</t>
  </si>
  <si>
    <t>4607137060011</t>
  </si>
  <si>
    <t>STARLESS</t>
  </si>
  <si>
    <t>Бумага для факса  "Starless" Universal 210*12, 18м арт.00360 T</t>
  </si>
  <si>
    <t>4607013901438</t>
  </si>
  <si>
    <t>Lomond</t>
  </si>
  <si>
    <t>"АДМ"</t>
  </si>
  <si>
    <t>Бумага туал 45м,115гр. на втулке "БиоБум 65", белая арт.224</t>
  </si>
  <si>
    <t>4811499000565</t>
  </si>
  <si>
    <t>Бумага туал 56м, 140гр. на втулке "БиоБум 75", серая арт.226</t>
  </si>
  <si>
    <t>4811499000589</t>
  </si>
  <si>
    <t>Бумага туал. VEIRO Classic 4 шт. белая, двухслойная арт.5С24</t>
  </si>
  <si>
    <t>4607075790988</t>
  </si>
  <si>
    <t>Бумага цв. А4  50 л 80 г/м2 "OfficeSpace" интенсив желтый арт.219289</t>
  </si>
  <si>
    <t>4680211049683</t>
  </si>
  <si>
    <t>Бумага цв. А4  50 л 80 г/м2 "OfficeSpace" интенсив зеленый арт.219290</t>
  </si>
  <si>
    <t>4680211049690</t>
  </si>
  <si>
    <t>Бумага цв. А4  50 л 80 г/м2 "OfficeSpace" интенсив оранжевый арт.219291</t>
  </si>
  <si>
    <t>4680211049706</t>
  </si>
  <si>
    <t>Бумага цв. А4  50 л 80 г/м2 "OfficeSpace" пастель голубой арт.219281</t>
  </si>
  <si>
    <t>4680211049737</t>
  </si>
  <si>
    <t>Бумага цв. А4  50 л 80 г/м2 "OfficeSpace" пастель желтый арт.219283</t>
  </si>
  <si>
    <t>4680211049744</t>
  </si>
  <si>
    <t>Бумага цв. А4  50 л 80 г/м2 "OfficeSpace" пастель зеленый арт.219284</t>
  </si>
  <si>
    <t>4680211049751</t>
  </si>
  <si>
    <t>Бумага цв. А4  50 л 80 г/м2 "OfficeSpace" пастель оранжевый арт.219285</t>
  </si>
  <si>
    <t>4680211049768</t>
  </si>
  <si>
    <t>Бумага цв. А4 250 л 80 г/м2 "deVENTE" пастель микс 5 цветов арт.2072413</t>
  </si>
  <si>
    <t>4627102054258</t>
  </si>
  <si>
    <t>IQ</t>
  </si>
  <si>
    <t>Бумага цв. А4 500 л 80 г/м2 "IQ Color intensive" оранжевый арт.OR43</t>
  </si>
  <si>
    <t>9003974400860</t>
  </si>
  <si>
    <t>Бумага цв. А4 500 л 80 г/м2 "IQ Color intensive" светло-синий арт.AB48</t>
  </si>
  <si>
    <t>9003974402789</t>
  </si>
  <si>
    <t>Бумага цв. А4 500 л 80 г/м2 "IQ Color intensive" ярко-жёлтый арт.IG50</t>
  </si>
  <si>
    <t>9003974408392</t>
  </si>
  <si>
    <t>Бумага цв. А4 500 л 80 г/м2 "IQ Color intensive" ярко-зелёный арт.MA42</t>
  </si>
  <si>
    <t>9003974406497</t>
  </si>
  <si>
    <t>Группа товарищей</t>
  </si>
  <si>
    <t>Бумага цв. А4 500 л 80 г/м2 "deVENTE" пастель микс 5 цветов арт.2072709</t>
  </si>
  <si>
    <t>4627140009760</t>
  </si>
  <si>
    <t>Визитница для дисконтных и визитных карточек  5 карм., обложка кожзам, на винте, красная арт.2901.И-202</t>
  </si>
  <si>
    <t>4660018583108</t>
  </si>
  <si>
    <t>Визитница для дисконтных и визитных карточек  5 карм., обложка кожзам, на винте, синяя арт.2901.И-201</t>
  </si>
  <si>
    <t>4660018583085</t>
  </si>
  <si>
    <t>Визитница для дисконтных и визитных карточек 14 карм., обложка ПВХ, "Кот в шляпе" арт.2878-3</t>
  </si>
  <si>
    <t>4660018581838</t>
  </si>
  <si>
    <t>Визитница для дисконтных и визитных карточек 14 карм., обложка ПВХ, "Маки" арт.2878-7</t>
  </si>
  <si>
    <t>4660018581876</t>
  </si>
  <si>
    <t>Визитница для дисконтных и визитных карточек 14 карм., обложка ПВХ, "Марки" арт.2878-6</t>
  </si>
  <si>
    <t>4660018581869</t>
  </si>
  <si>
    <t>Визитница для дисконтных и визитных карточек 14 карм., обложка ПВХ, "Перо" арт.2878-10</t>
  </si>
  <si>
    <t>4660018583030</t>
  </si>
  <si>
    <t>Визитница для дисконтных и визитных карточек 14 карм., обложка ПВХ, "Полоски" арт.2878-2</t>
  </si>
  <si>
    <t>4660018581821</t>
  </si>
  <si>
    <t>Визитница для дисконтных и визитных карточек 14 карм., обложка ПВХ, "Снегири" арт.2878-9</t>
  </si>
  <si>
    <t>4660018583016</t>
  </si>
  <si>
    <t>Визитница для дисконтных и визитных карточек 14 карм., обложка ПВХ, бежевая с городом арт.2054-115</t>
  </si>
  <si>
    <t>4607031185681</t>
  </si>
  <si>
    <t>Визитница для дисконтных и визитных карточек 14 карм., обложка ПВХ, коричневая арт.2054-104</t>
  </si>
  <si>
    <t>4607031185605</t>
  </si>
  <si>
    <t>Визитница для дисконтных и визитных карточек 14 карм., обложка ПВХ, синяя арт.2054-101</t>
  </si>
  <si>
    <t>4607031185629</t>
  </si>
  <si>
    <t>Визитница для дисконтных и визитных карточек 14 карм., обложка ПВХ, черная арт.2054-107</t>
  </si>
  <si>
    <t>4607031181256</t>
  </si>
  <si>
    <t>Визитница на 160 карточек с кольцевым механизмом, обложка ПВХ, синяя  арт.2006-101</t>
  </si>
  <si>
    <t>4607031183946</t>
  </si>
  <si>
    <t>Визитница на 96 карточек, обложка кожзам, темно-синяя арт.2350.И-201</t>
  </si>
  <si>
    <t>4607031182468</t>
  </si>
  <si>
    <t>Визитница на 96 карточек, обложка кожзам, черная арт.2350.И-207</t>
  </si>
  <si>
    <t>4607031182475</t>
  </si>
  <si>
    <t>"ОАО ГЛОБУС"</t>
  </si>
  <si>
    <t>Colop</t>
  </si>
  <si>
    <t>Датер ленточный Colop, пластик, 1стр., 3,8мм арт.S 120/BL</t>
  </si>
  <si>
    <t>9004362426653</t>
  </si>
  <si>
    <t>Smartbuy</t>
  </si>
  <si>
    <t>Диск CD-R Smart Track 80min 52x бумажный конверт арт.ST000414</t>
  </si>
  <si>
    <t>4607177556253</t>
  </si>
  <si>
    <t>Диск CD-RW Mirex 700 Мб 4-12х в бумажном конверте с окном арт.UL121002A8С</t>
  </si>
  <si>
    <t>4620001050253</t>
  </si>
  <si>
    <t>Диск DVD+RW Mirex 4.7Gb 4x в бумажном конверте с окном арт.UL130022A4С</t>
  </si>
  <si>
    <t>4620001050444</t>
  </si>
  <si>
    <t>Диск DVD-R Smart Track 4,7GB 16x бумажный конверт арт.ST000778</t>
  </si>
  <si>
    <t>4607177556246</t>
  </si>
  <si>
    <t>Диск DVD-R Smart Track 4,7GB 16x в слиме арт.ST000254</t>
  </si>
  <si>
    <t>4607177554495</t>
  </si>
  <si>
    <t>Диск DVD-R Smart Track 4,7GB 16x в слиме, 5шт/уп арт.ST000253</t>
  </si>
  <si>
    <t>Диспенсер для упаков. клейкой ленты 50мм арт.FSd_00019</t>
  </si>
  <si>
    <t>4260107456940</t>
  </si>
  <si>
    <t>Доска магнитно-маркерная 45*60см Attomex белая арт.6020700</t>
  </si>
  <si>
    <t>4627140009272</t>
  </si>
  <si>
    <t>Доска меловая 40*30 см Attomex с деревянной рамой, арт. 6050803</t>
  </si>
  <si>
    <t>4627149621871</t>
  </si>
  <si>
    <t>Доска меловая 90*60 см Attomex с деревянной рамой, арт. 6050805</t>
  </si>
  <si>
    <t>4627149621918</t>
  </si>
  <si>
    <t>Доска пробковая Attomex 40*60см, деревянная рамка арт.6030704</t>
  </si>
  <si>
    <t>4627140009357</t>
  </si>
  <si>
    <t>Доска пробковая Attomex 90*60см, деревянная рамка арт.6030705</t>
  </si>
  <si>
    <t>4627140009364</t>
  </si>
  <si>
    <t>Доска-флипчарт 70х100см deVENTE, на треноге, магнитно-маркерная, регулируемая по высоте, арт. 6041300</t>
  </si>
  <si>
    <t>4627077803806</t>
  </si>
  <si>
    <t>Дырокол  (100 л) deVENTE большой мощности, металлический с линейкой, черный, арт. 4020749</t>
  </si>
  <si>
    <t>4627135524452</t>
  </si>
  <si>
    <t>Дырокол (08 л) ErichKrause "L10", ассорти арт.17754</t>
  </si>
  <si>
    <t>4041485177548</t>
  </si>
  <si>
    <t>Дырокол (10 л) "deVENTE. Stripe" пластик, с линейкой, черный, в карт. коробке, арт. 4020335</t>
  </si>
  <si>
    <t>4627077808054</t>
  </si>
  <si>
    <t>Дырокол (10 л) Attomex металлический, черный, в картонной коробке, арт. 4020303</t>
  </si>
  <si>
    <t>4627077800195</t>
  </si>
  <si>
    <t>Дырокол (10 л) ErichKrause "Elegance" с линейкой, ассорти арт.15130</t>
  </si>
  <si>
    <t>4041485151302</t>
  </si>
  <si>
    <t>Дырокол (10 л) ErichKrause "Quadro" с линейкой, ассорти арт.4560</t>
  </si>
  <si>
    <t>4041485045601</t>
  </si>
  <si>
    <t>Дырокол (10 л) OfficeSpace метал., черный арт.P201BL_436</t>
  </si>
  <si>
    <t>4610008524369</t>
  </si>
  <si>
    <t>Дырокол (20 л) "deVENTE. Stripe" пластик, с линейкой, черный, в карт. коробке, арт. 4020339</t>
  </si>
  <si>
    <t>4627077808139</t>
  </si>
  <si>
    <t>Дырокол (20 л) ErichKrause "Elegance" с линейкой, ассорти арт.15133</t>
  </si>
  <si>
    <t>4041485151333</t>
  </si>
  <si>
    <t>Дырокол (20 л) ErichKrause "Quadro" с линейкой ассорти арт.4594</t>
  </si>
  <si>
    <t>4041485045946</t>
  </si>
  <si>
    <t>Дырокол (30 л) ErichKrause "Elegance" с линейкой, черный арт.5402</t>
  </si>
  <si>
    <t>4041485054023</t>
  </si>
  <si>
    <t>Дырокол (40 л) "deVENTE. Stripe" пластик, с линейкой, черный, в карт. коробке, арт. 4020347</t>
  </si>
  <si>
    <t>4627077808269</t>
  </si>
  <si>
    <t>Дырокол (40 л) ErichKrause "Elegance" с линейкой, черный арт.5404</t>
  </si>
  <si>
    <t>4041485054047</t>
  </si>
  <si>
    <t>Дырокол (40 л) ErichKrause "Quadro" с линейкой, ассорти арт.4561</t>
  </si>
  <si>
    <t>4041485045618</t>
  </si>
  <si>
    <t>Дырокол (45 л) Attomex металлический с линейкой, в картонной коробке, черный, арт. 4020315</t>
  </si>
  <si>
    <t>4627077807668</t>
  </si>
  <si>
    <t>Дырокол (60 л) deVENTE большой мощности, металлический с линейкой, черный, арт. 4020750</t>
  </si>
  <si>
    <t>4627135524469</t>
  </si>
  <si>
    <t>Kangaro</t>
  </si>
  <si>
    <t>Дырокол (65 л) "deVENTE. Stripe" пластик, с линейкой, черный, в карт. коробке, арт. 4020501</t>
  </si>
  <si>
    <t>4627102056634</t>
  </si>
  <si>
    <t>Greenwich Line</t>
  </si>
  <si>
    <t>Ежедневник А5 143*210 мм, недатир. Greenwich Line "Vision.Art", тон. блок, цв. срез арт.ENA5-18683</t>
  </si>
  <si>
    <t>4680211186838</t>
  </si>
  <si>
    <t>Ежедневник А5 148*210мм, недатир. KASHMIR салатовый арт.40668</t>
  </si>
  <si>
    <t>4041485406686</t>
  </si>
  <si>
    <t>Ежедневник А6 10*16см, "Cats" обложка ПВХ 250 мкм с ручкой арт.2528-3</t>
  </si>
  <si>
    <t>4607031186756</t>
  </si>
  <si>
    <t>Ежедневник А6 10*16см, "London" обложка ПВХ 250 мкм с ручкой арт.2528-1</t>
  </si>
  <si>
    <t>4607031186770</t>
  </si>
  <si>
    <t>Ежедневник А6 10*16см, "Paris" обложка ПВХ 250 мкм с ручкой арт.2528-2</t>
  </si>
  <si>
    <t>4607031186794</t>
  </si>
  <si>
    <t>Ежедневник А6 10*16см, "Зебра" обложка ПВХ 250 мкм с ручкой арт.2528-6</t>
  </si>
  <si>
    <t>4607031186930</t>
  </si>
  <si>
    <t>Ежедневник А6 10*16см, "Клетка" обложка ПВХ 250 мкм с ручкой арт.2528-4</t>
  </si>
  <si>
    <t>4607031186695</t>
  </si>
  <si>
    <t>Ежедневник А6 10*16см, "Листья" обложка ПВХ 250 мкм с ручкой арт.2528-8</t>
  </si>
  <si>
    <t>4607031186732</t>
  </si>
  <si>
    <t>Ежедневник А6 10*16см, "Мозаика" обложка ПВХ 250 мкм с ручкой арт.2528-10</t>
  </si>
  <si>
    <t>4607031186992</t>
  </si>
  <si>
    <t>Ежедневник А6 10*16см, "Полоска" обложка ПВХ 250 мкм с ручкой арт.2528-5</t>
  </si>
  <si>
    <t>4607031186718</t>
  </si>
  <si>
    <t>4627079498192</t>
  </si>
  <si>
    <t>4627079498215</t>
  </si>
  <si>
    <t>4627079498253</t>
  </si>
  <si>
    <t>4627079498277</t>
  </si>
  <si>
    <t>4627079498291</t>
  </si>
  <si>
    <t>4627077802472</t>
  </si>
  <si>
    <t>4627077802533</t>
  </si>
  <si>
    <t>4627077802557</t>
  </si>
  <si>
    <t>4627077802571</t>
  </si>
  <si>
    <t>"ОНИКС"</t>
  </si>
  <si>
    <t>Записная книжка А5 160 стр. deVENTE "Cosca" 145х205мм, кремов.бумага, клетка, САЛАТОВАЯ, 1 ляссе, иск.кожа арт. 2051836</t>
  </si>
  <si>
    <t>4627149624445</t>
  </si>
  <si>
    <t>Игла прошивочная стальная, хромированная, 125мм (для прошивки личных дел, брошюр, бухгалтерских документов) арт.Иг-125</t>
  </si>
  <si>
    <t>Klebebander</t>
  </si>
  <si>
    <t>Изолента ПВХ 15мм х 10м черная Klebebander  арт.ТIK556Т/200/5</t>
  </si>
  <si>
    <t>7630014901371</t>
  </si>
  <si>
    <t>Калька 420мм*20м под тушь в рул., 40гр./м2 арт.420*20</t>
  </si>
  <si>
    <t>4607112474086</t>
  </si>
  <si>
    <t>Калька 625 мм*10м под тушь в рулонах 40 гр/м2 арт.625*10</t>
  </si>
  <si>
    <t>4607112474109</t>
  </si>
  <si>
    <t>Калька 640*40 в рул., под карандаш 52гр./м2 арт.БЧП/640</t>
  </si>
  <si>
    <t>4607112472365</t>
  </si>
  <si>
    <t>Калька 878 мм*10м 40 г/м2 в рулонах арт.878*10</t>
  </si>
  <si>
    <t>4607112474147</t>
  </si>
  <si>
    <t>Калька А2 40л. в папке для черт. и дизайнерских работ 40гр./м2 арт.КДР/А2</t>
  </si>
  <si>
    <t>4607112473546</t>
  </si>
  <si>
    <t>Калька А3 40л. в папке для черт. и дизайнерских работ 40гр./м2 арт.КДР/А3</t>
  </si>
  <si>
    <t>4607112473522</t>
  </si>
  <si>
    <t>Калька А4 40л. в папке для черт. и дизайнерских работ 40гр./м2 арт.КДР/А4</t>
  </si>
  <si>
    <t>4607112475205</t>
  </si>
  <si>
    <t>CITIZEN</t>
  </si>
  <si>
    <t>Калькулятор "Citizen CDB1201-ВК" Business Line 12 разр.,2пит., двухур.память,2-ое пит.,2 нуля 200х157х35 арт. CDB1201-ВК</t>
  </si>
  <si>
    <t>4562195139232</t>
  </si>
  <si>
    <t>Калькулятор "Citizen CDB1401-ВК" Business Line 14 разр.,2пит., двухур.память,2-ое пит.,2 нуля 200х157х35 арт.CDB1401-ВК</t>
  </si>
  <si>
    <t>4562195139249</t>
  </si>
  <si>
    <t>Калькулятор "Citizen CDB1601-ВК" Business Line 16 разр.,2пит., двухур.память,2-ое пит.,3 нуля 200х157х35 арт. CDB1601-ВК</t>
  </si>
  <si>
    <t>4562195139256</t>
  </si>
  <si>
    <t>Калькулятор "Citizen CMB1001-BK" Business Line 10 разр., 2 пит., 1 строчн. диспл., 137*102*31, черный арт.CMB1001-BK</t>
  </si>
  <si>
    <t>4562195139218</t>
  </si>
  <si>
    <t>Калькулятор "Citizen CMB1201-BK" Business Line 12 разр., 2пит., 1-строчный, 137х102х31, черный арт.CMB1201-BK</t>
  </si>
  <si>
    <t>4562195139225</t>
  </si>
  <si>
    <t>Калькулятор "Citizen CMB801-BK" Business Line 8 разр., 2пит, 1 строчн. диспл., 100x136x32мм, черный арт.CMB801-BK</t>
  </si>
  <si>
    <t>4562195139201</t>
  </si>
  <si>
    <t>Калькулятор "Citizen LC-110NR" 8 разр., 88*58*11 (карманный) арт.LC-110NR</t>
  </si>
  <si>
    <t>4562195139386</t>
  </si>
  <si>
    <t>Калькулятор "Citizen LC-210NR" 8 разр., 98*64*12 (карманный) арт.LC-210NR</t>
  </si>
  <si>
    <t>4562195139416</t>
  </si>
  <si>
    <t>Калькулятор "Citizen LC-310NR" 8 разр., 114*69*14 (карманный), черный арт.LC-310NR</t>
  </si>
  <si>
    <t>4562195139423</t>
  </si>
  <si>
    <t>Калькулятор "Citizen SDC 414N" 14 разр., 2пит., двухуровн.память, 220х160х43 арт.SDC-414N</t>
  </si>
  <si>
    <t>4562195138211</t>
  </si>
  <si>
    <t>Калькулятор "Citizen SDC 435N" 16 разр., 2пит., одноуровн.память, клавиша 000, 204х158х31 арт.SDC-435N</t>
  </si>
  <si>
    <t>4562195138242</t>
  </si>
  <si>
    <t>Калькулятор "Citizen SDC 444S" 12 разр., 2пит., двухуровн.память, 199х153х30 арт.SDC-444S</t>
  </si>
  <si>
    <t>4562195130673</t>
  </si>
  <si>
    <t>Калькулятор "Citizen SDC 554S" 14 разр., 2пит., одноуровн.память, 199х153х30 арт.SDC-554S</t>
  </si>
  <si>
    <t>Калькулятор "Citizen SDC 664S" 16 разр., 2пит., одноуровн.память, 199х153х30 арт.SDC-664S</t>
  </si>
  <si>
    <t>Калькулятор "Citizen SDC 888 XBK" 12 разр. 2пит., двухуровн.память, 203х158х31 арт.SDC-888XBK</t>
  </si>
  <si>
    <t>4562195137818</t>
  </si>
  <si>
    <t>Калькулятор "Citizen SLD-100NR" 8 разр., 2пит., 88*58*10 арт.SLD-100NR</t>
  </si>
  <si>
    <t>4562195139430</t>
  </si>
  <si>
    <t>Калькулятор "Citizen SLD-200NR" 8 разр., 2пит., 98*62*10  арт.SLD-200NR</t>
  </si>
  <si>
    <t>4562195139447</t>
  </si>
  <si>
    <t>Калькулятор "Citizen SR 260 N" инж., 165 функций, 10+2 разр.,80х154х14 арт.SR-260N</t>
  </si>
  <si>
    <t>4562195131663</t>
  </si>
  <si>
    <t>Калькулятор "Citizen SR 270 N" инж., 236 функций, 10+2 разр.,80х154х14 арт.SR 270N</t>
  </si>
  <si>
    <t>4562195131700</t>
  </si>
  <si>
    <t>Калькулятор "Citizen SRP 145 NPU" инж., 86 функций, 10 разр.,78х153х12  фиол. вставка арт.SRP 145 NPU</t>
  </si>
  <si>
    <t>4562195131809</t>
  </si>
  <si>
    <t>Калькулятор "Erich Krause DC-310N" 10 разр., 2пит., одноуровн.память, 107х134 арт.ЕК50310</t>
  </si>
  <si>
    <t>4041485503101</t>
  </si>
  <si>
    <t>Калькулятор "Erich Krause DC-312N" 12 разр., 2пит., одноуровн.память, 107х134 арт.ЕК50312</t>
  </si>
  <si>
    <t>4041485503125</t>
  </si>
  <si>
    <t>Калькулятор "Erich Krause DC-412" 12 разр., 2пит., двухуровн.память, 148х156 арт.ЕК40412</t>
  </si>
  <si>
    <t>4041485404125</t>
  </si>
  <si>
    <t>Калькулятор "Erich Krause DC-416" 16 разр., 2пит., двухуровн.память, 148х156 арт.ЕК40416</t>
  </si>
  <si>
    <t>4041485404163</t>
  </si>
  <si>
    <t>Калькулятор "Erich Krause DC-5512М" 12 разр., 2пит., двухуровн.память, алюм. вставка, 153х204 арт.ЕК45512</t>
  </si>
  <si>
    <t>4041485455127</t>
  </si>
  <si>
    <t>Калькулятор "Erich Krause DC-5516М" 16 разр., 2пит., двухуровн.память, алюм. вставка, клавиша "000", 153*204 арт.ЕК45516</t>
  </si>
  <si>
    <t>4041485455165</t>
  </si>
  <si>
    <t>Калькулятор "Erich Krause DC-777-12N" 12 разр., 2пит., двухуровн.память, 148х198, черный арт.ЕК37772</t>
  </si>
  <si>
    <t>4041485377726</t>
  </si>
  <si>
    <t>Калькулятор "Erich Krause DC-777-14N" 14 разр., 2пит., двухуровн.память, 148х198, черный арт.ЕК37774</t>
  </si>
  <si>
    <t>4041485377740</t>
  </si>
  <si>
    <t>Калькулятор "Erich Krause DC-777-16N" 16 разр., 2пит., двухуровн.память, 148х198, черный арт.ЕК37776</t>
  </si>
  <si>
    <t>4041485377764</t>
  </si>
  <si>
    <t>Калькулятор "Erich Krause PC-101" карм.,8 разр.,  58х88, PVC-обложка  арт.ЕК40101</t>
  </si>
  <si>
    <t>4041485401018</t>
  </si>
  <si>
    <t>Калькулятор "Erich Krause PC-102" карм.,8 разр.,  62х99, PVC-обложка арт.ЕК40102</t>
  </si>
  <si>
    <t>4041485401025</t>
  </si>
  <si>
    <t>Калькулятор "Erich Krause PC-121" карм.,8 разр.,  64х99, PVC-обложка  арт.40121</t>
  </si>
  <si>
    <t>4041485401216</t>
  </si>
  <si>
    <t>"Adel"</t>
  </si>
  <si>
    <t>Карандаш Adel c ластиком ч/гр. "Flash", неон.цвета арт.2021122001</t>
  </si>
  <si>
    <t>8681241098876</t>
  </si>
  <si>
    <t>Карандаш Adel c ластиком ч/гр. "Noble" из черного дерева, черный+цветной корпус арт.2061130735</t>
  </si>
  <si>
    <t>8681241084114</t>
  </si>
  <si>
    <t>Карандаш Adel c ластиком ч/гр. 2В "School" арт.2062135000</t>
  </si>
  <si>
    <t>Карандаш Adel c ластиком ч/гр. НВ "Basic" цветной корпус арт.2061113000</t>
  </si>
  <si>
    <t>8681241105956</t>
  </si>
  <si>
    <t>Карандаш Adel c ластиком ч/гр. НВ "Basic" цветной корпус арт.2062045000</t>
  </si>
  <si>
    <t>Карандаш Adel автомат. "Auto 045" 0.5; 0.7мм с ластиком в дисплее (40шт) арт.4012045001</t>
  </si>
  <si>
    <t>8681241086620</t>
  </si>
  <si>
    <t>Карандаш Adel ч/гр. "Smiling Face" 4 дизайна корпуса арт.2061130615</t>
  </si>
  <si>
    <t>8681241083650</t>
  </si>
  <si>
    <t>Карандаш Adel ч/гр. "Trio" из черного дерева (треуг.),  арт.2061130635</t>
  </si>
  <si>
    <t>8681241084152</t>
  </si>
  <si>
    <t>Карандаш Adel ч/гр. "Цветы Blackline" из черного дерева, 4 цвета арт.2091198001</t>
  </si>
  <si>
    <t>8681241098944</t>
  </si>
  <si>
    <t>4627113201740</t>
  </si>
  <si>
    <t>Карандаш Attomex HB ч/гр., шестигранный, желтый корпус арт.5032312</t>
  </si>
  <si>
    <t>4627079493883</t>
  </si>
  <si>
    <t>Карандаш Attomex HB ч/гр., шестигранный, зеленый корпус арт.5032600</t>
  </si>
  <si>
    <t>4627113201726</t>
  </si>
  <si>
    <t>Карандаш Berlingo HB ч/гр. "Triangle flash", с ластиком, трехгранный, ассорти арт.BP00810</t>
  </si>
  <si>
    <t>4260107477181</t>
  </si>
  <si>
    <t>Карандаш ErichKrause HB ч/гр. с ластиком 2x2, круглый корпус арт.45619</t>
  </si>
  <si>
    <t>4041485457060</t>
  </si>
  <si>
    <t>Карандаш ErichKrause HB ч/гр. с ластиком Extra, шестигранный арт.43575</t>
  </si>
  <si>
    <t>4041485435754</t>
  </si>
  <si>
    <t>4041485457091</t>
  </si>
  <si>
    <t>4041485328605</t>
  </si>
  <si>
    <t>Карандаш ErichKrause HB ч/гр. с ластиком Sonata, трехгранный арт.45616</t>
  </si>
  <si>
    <t>4041485457053</t>
  </si>
  <si>
    <t>Карандаш ErichKrause HB ч/гр. с ластиком VIVO, трехгранный арт.45622</t>
  </si>
  <si>
    <t>4041485457084</t>
  </si>
  <si>
    <t>Карандаш KOH-I-NOOR 1500  12 шт./наб. Art 8B-2Н в мет.пенале арт.1502/ll Мет</t>
  </si>
  <si>
    <t>8593539022213</t>
  </si>
  <si>
    <t>Карандаш KOH-I-NOOR 1500  12 шт./наб. Graphic 5B-5Н в мет.пенале арт.1502/lll Мет</t>
  </si>
  <si>
    <t>8593539022220</t>
  </si>
  <si>
    <t>Карандаш KOH-I-NOOR 1500  арт.1500/2H</t>
  </si>
  <si>
    <t>8593539092391</t>
  </si>
  <si>
    <t>Карандаш KOH-I-NOOR 1500  арт.1500/2В</t>
  </si>
  <si>
    <t>8593539092384</t>
  </si>
  <si>
    <t>Карандаш KOH-I-NOOR 1500  арт.1500/3H</t>
  </si>
  <si>
    <t>8593539092414</t>
  </si>
  <si>
    <t>Карандаш KOH-I-NOOR 1500  арт.1500/3В</t>
  </si>
  <si>
    <t>8593539092407</t>
  </si>
  <si>
    <t>Карандаш KOH-I-NOOR 1500  арт.1500/4H</t>
  </si>
  <si>
    <t>8593539092438</t>
  </si>
  <si>
    <t>Карандаш KOH-I-NOOR 1500  арт.1500/4В</t>
  </si>
  <si>
    <t>8593539092421</t>
  </si>
  <si>
    <t>Карандаш KOH-I-NOOR 1500  арт.1500/5H</t>
  </si>
  <si>
    <t>8593539092452</t>
  </si>
  <si>
    <t>Карандаш KOH-I-NOOR 1500  арт.1500/5В</t>
  </si>
  <si>
    <t>8593539092445</t>
  </si>
  <si>
    <t>Карандаш KOH-I-NOOR 1500  арт.1500/6H</t>
  </si>
  <si>
    <t>8593539005971</t>
  </si>
  <si>
    <t>Карандаш KOH-I-NOOR 1500  арт.1500/6В</t>
  </si>
  <si>
    <t>8593539092469</t>
  </si>
  <si>
    <t>Карандаш KOH-I-NOOR 1500  арт.1500/7H</t>
  </si>
  <si>
    <t>8593539092490</t>
  </si>
  <si>
    <t>Карандаш KOH-I-NOOR 1500  арт.1500/7В</t>
  </si>
  <si>
    <t>8593539092483</t>
  </si>
  <si>
    <t>Карандаш KOH-I-NOOR 1500  арт.1500/8В</t>
  </si>
  <si>
    <t>8593539092506</t>
  </si>
  <si>
    <t>Карандаш KOH-I-NOOR 1500  арт.1500/F</t>
  </si>
  <si>
    <t>8593539092360</t>
  </si>
  <si>
    <t>Карандаш KOH-I-NOOR 1500  арт.1500/H</t>
  </si>
  <si>
    <t>8593539092377</t>
  </si>
  <si>
    <t>Карандаш KOH-I-NOOR 1500  арт.1500/HВ</t>
  </si>
  <si>
    <t>8593539092537</t>
  </si>
  <si>
    <t>Карандаш KOH-I-NOOR 1500  арт.1500/В</t>
  </si>
  <si>
    <t>8593539092353</t>
  </si>
  <si>
    <t>8593539231042</t>
  </si>
  <si>
    <t>Карандаш KOH-I-NOOR 1582  трехгранный 12 шт./наб. FSC Pure 6B-6Н в мет.пенале арт.1582012001PL</t>
  </si>
  <si>
    <t>8593539231066</t>
  </si>
  <si>
    <t>8593539101291</t>
  </si>
  <si>
    <t>Карандаш KOH-I-NOOR 1900  12 шт./наб. TOISON D`OR Art 8B-2Н в мет.пенале арт.1912/12</t>
  </si>
  <si>
    <t>8593539085317</t>
  </si>
  <si>
    <t>Карандаш KOH-I-NOOR 1935  4 шт./наб. TOISON D*OR 8B-4Н в блист. уп. арт.1935/4</t>
  </si>
  <si>
    <t>8593539206965</t>
  </si>
  <si>
    <t>Карандаш KOH-I-NOOR Alpha красный корп. арт. 1703/1/3В</t>
  </si>
  <si>
    <t>8593539181118</t>
  </si>
  <si>
    <t>Карандаш KOH-I-NOOR BLACK SUN арт.1770/2B</t>
  </si>
  <si>
    <t>8593539119630</t>
  </si>
  <si>
    <t>Карандаш KOH-I-NOOR BLACK SUN арт.1770/B</t>
  </si>
  <si>
    <t>8593539119593</t>
  </si>
  <si>
    <t>Карандаш KOH-I-NOOR BLACK SUN арт.1770/Н</t>
  </si>
  <si>
    <t>8593539119616</t>
  </si>
  <si>
    <t>Карандаш KOH-I-NOOR BLACK SUN арт.1770/НВ</t>
  </si>
  <si>
    <t>8593539119623</t>
  </si>
  <si>
    <t>Карандаш KOH-I-NOOR GOLD STAR арт.1860/2В</t>
  </si>
  <si>
    <t>8593539093305</t>
  </si>
  <si>
    <t>Карандаш KOH-I-NOOR GOLD STAR арт.1860/3В</t>
  </si>
  <si>
    <t>8593539093329</t>
  </si>
  <si>
    <t>Карандаш KOH-I-NOOR GOLD STAR арт.1860/4В</t>
  </si>
  <si>
    <t>8593539093343</t>
  </si>
  <si>
    <t>Карандаш KOH-I-NOOR GOLD STAR арт.1860/5B</t>
  </si>
  <si>
    <t>8593539093367</t>
  </si>
  <si>
    <t>Карандаш KOH-I-NOOR GOLD STAR арт.1860/6В</t>
  </si>
  <si>
    <t>8593539093381</t>
  </si>
  <si>
    <t>Карандаш KOH-I-NOOR GOLD STAR арт.1860/В</t>
  </si>
  <si>
    <t>8593539093275</t>
  </si>
  <si>
    <t>Карандаш KOH-I-NOOR GOLD STAR арт.1860/Н</t>
  </si>
  <si>
    <t>8593539093299</t>
  </si>
  <si>
    <t>Карандаш KOH-I-NOOR GOLD STAR арт.1860/НВ</t>
  </si>
  <si>
    <t>8593539093404</t>
  </si>
  <si>
    <t>Карандаш KOH-I-NOOR MAGIC JUMBO с многоцветным грифелем FIRE арт.3405001</t>
  </si>
  <si>
    <t>8593539099420</t>
  </si>
  <si>
    <t>Карандаш KOH-I-NOOR MAGIC JUMBO с многоцветным грифелем NEON арт.3405004</t>
  </si>
  <si>
    <t>8593539099482</t>
  </si>
  <si>
    <t>Карандаш KOH-I-NOOR MAGIC JUMBO с многоцветным грифелем ORIGINAL арт.3405000</t>
  </si>
  <si>
    <t>8593539099390</t>
  </si>
  <si>
    <t>Карандаш KOH-I-NOOR TOISON D*OR арт.1900/2B</t>
  </si>
  <si>
    <t>8593539096863</t>
  </si>
  <si>
    <t>Карандаш KOH-I-NOOR TOISON D*OR арт.1900/B</t>
  </si>
  <si>
    <t>8593539096832</t>
  </si>
  <si>
    <t>Карандаш KOH-I-NOOR TOISON D*OR арт.1900/HB</t>
  </si>
  <si>
    <t>8593539097013</t>
  </si>
  <si>
    <t>Карандаш KOH-I-NOOR TOISON D*OR арт.1900/Н</t>
  </si>
  <si>
    <t>8593539096856</t>
  </si>
  <si>
    <t>Карандаш KOH-I-NOOR TRIANGULAR треугольный профиль зеленый корпус арт.1802/3</t>
  </si>
  <si>
    <t>8593539190615</t>
  </si>
  <si>
    <t>Карандаш KOH-I-NOOR TRIANGULAR треугольный профиль красный корпус арт.1802/1</t>
  </si>
  <si>
    <t>8593539190530</t>
  </si>
  <si>
    <t>Карандаш KOH-I-NOOR ПЛАСТИКОВЫЙ сверхгибкий 2B арт.1697011003KS</t>
  </si>
  <si>
    <t>8593539275251</t>
  </si>
  <si>
    <t>Карандаш KOH-I-NOOR ПЛАСТИКОВЫЙ сверхгибкий HB арт.1697012003KS</t>
  </si>
  <si>
    <t>8593539275275</t>
  </si>
  <si>
    <t>Карандаш KOH-I-NOOR ПЛОТНИКА (плотницкий) 180мм (красный корп.) арт.1536/2</t>
  </si>
  <si>
    <t>8593539122098</t>
  </si>
  <si>
    <t>Карандаш KOH-I-NOOR графитовый Progresso в лаке без дерева арт.8911/2B</t>
  </si>
  <si>
    <t>8593539098690</t>
  </si>
  <si>
    <t>Карандаш KOH-I-NOOR графитовый Progresso в лаке без дерева арт.8911/4B</t>
  </si>
  <si>
    <t>8593539098706</t>
  </si>
  <si>
    <t>Карандаш KOH-I-NOOR графитовый Progresso в лаке без дерева арт.8911/6B</t>
  </si>
  <si>
    <t>8593539098713</t>
  </si>
  <si>
    <t>Карандаш KOH-I-NOOR графитовый Progresso в лаке без дерева арт.8911/8B</t>
  </si>
  <si>
    <t>8593539098720</t>
  </si>
  <si>
    <t>Карандаш KOH-I-NOOR графитовый Progresso в лаке без дерева арт.8911/НB</t>
  </si>
  <si>
    <t>8593539098737</t>
  </si>
  <si>
    <t>Карандаш KOH-I-NOOR корпус красный арт. 1702/01/3В</t>
  </si>
  <si>
    <t>8593539160120</t>
  </si>
  <si>
    <t>Карандаш KOH-I-NOOR корпус серый арт. 1702/02/НВ</t>
  </si>
  <si>
    <t>8593539160144</t>
  </si>
  <si>
    <t>Карандаш KOH-I-NOOR офисный JUMBO сине-красный D 9мм. арт.34230EG006KS</t>
  </si>
  <si>
    <t>8593539122838</t>
  </si>
  <si>
    <t>Карандаш KOH-I-NOOR с ластиком ASTRA арт.1380/HB</t>
  </si>
  <si>
    <t>8593539183167</t>
  </si>
  <si>
    <t>Карандаш KOH-I-NOOR сверхгибкий с ластиком 2B арт.1397/2B</t>
  </si>
  <si>
    <t>8593539275237</t>
  </si>
  <si>
    <t>Карандаш KOH-I-NOOR сверхгибкий с ластиком HB арт.1397/HB</t>
  </si>
  <si>
    <t>8593539275268</t>
  </si>
  <si>
    <t>Карандаш KOH-I-NOOR специальный, для стекла, фарфора, пластмассы, металла, БЕЛЫЙ арт.3263006001KS</t>
  </si>
  <si>
    <t>8593539273356</t>
  </si>
  <si>
    <t>Карандаш KOH-I-NOOR специальный, для стекла, фарфора, пластмассы, металла, ЖЕЛТЫЙ арт.3263004001KS</t>
  </si>
  <si>
    <t>8593539273271</t>
  </si>
  <si>
    <t>Карандаш KOH-I-NOOR химический синий корп. арт.1561 Е</t>
  </si>
  <si>
    <t>8593539121879</t>
  </si>
  <si>
    <t>Карандаш deVENTE HB  ч/гр. "Яблочки",  незаточенный, арт. 5032806</t>
  </si>
  <si>
    <t>4627149623141</t>
  </si>
  <si>
    <t>Карандаш deVENTE HB  ч/гр. с ластиком, шестигранный, пластиковый корпус, ассорти, арт. 5032318</t>
  </si>
  <si>
    <t>4627079493968</t>
  </si>
  <si>
    <t>4627149621772</t>
  </si>
  <si>
    <t>Карандаш deVENTE HB ч/гр. с ластиком, "Neon", круглый корпус, неоновые цвета, ассорти арт.5032803</t>
  </si>
  <si>
    <t>4627149621819</t>
  </si>
  <si>
    <t>4627149621833</t>
  </si>
  <si>
    <t>4627149621857</t>
  </si>
  <si>
    <t>4627079493340</t>
  </si>
  <si>
    <t>Карандаш deVENTE HB ч/гр. с ластиком, круглый пластиковый корпус, цвета металлик арт.5032319</t>
  </si>
  <si>
    <t>Карандаш Архитектор deVENTE 2М, шестигр., нат. цвет корпуса, заточенный, арт. 5032700</t>
  </si>
  <si>
    <t>4627127731561</t>
  </si>
  <si>
    <t>Карандаш Архитектор deVENTE 2Т, шестигр., цветной корпус, заточенный, арт. 5032707</t>
  </si>
  <si>
    <t>4627127731707</t>
  </si>
  <si>
    <t>Карандаш Архитектор deVENTE М, шестигр., нат. цвет корпуса, заточенный, арт. 5032701</t>
  </si>
  <si>
    <t>4627127731585</t>
  </si>
  <si>
    <t>Карандаш Архитектор deVENTE Т, шестигр., цветной корпус, заточенный, арт. 5032706</t>
  </si>
  <si>
    <t>4627127731684</t>
  </si>
  <si>
    <t>Карандаш Архитектор deVENTE ТМ, шестигр., нат. цвет корпуса, заточенный, арт. 5032702</t>
  </si>
  <si>
    <t>4627127731608</t>
  </si>
  <si>
    <t>Карандаш Архитектор deVENTE ТМ, шестигр., с ластиком, цветной корпус, заточенный, арт. 5032711</t>
  </si>
  <si>
    <t>4627127731783</t>
  </si>
  <si>
    <t>STABILO</t>
  </si>
  <si>
    <t>Карандаш автоматич. 0,3мм KOH-I-NOOR MEPHISTO арт.5004</t>
  </si>
  <si>
    <t>8593539094166</t>
  </si>
  <si>
    <t>Карандаш автоматич. 0,5мм KOH-I-NOOR MEPHISTO арт.5034</t>
  </si>
  <si>
    <t>8593539094197</t>
  </si>
  <si>
    <t>Карандаш автоматич. 0,7мм KOH-I-NOOR MEPHISTO арт.5054</t>
  </si>
  <si>
    <t>8593539094227</t>
  </si>
  <si>
    <t>Карандаш автоматич. 0,9мм KOH-I-NOOR MEPHISTO арт.5074</t>
  </si>
  <si>
    <t>8593539094258</t>
  </si>
  <si>
    <t>Карандаш автоматический (цанговый) 2,0 мм ErichKrause DRAFT с точилкой арт.28300</t>
  </si>
  <si>
    <t>4041485283003</t>
  </si>
  <si>
    <t>Карандаш автоматический (цанговый) 2,0 мм KOH-I-NOOR "Versatil", с точилкой арт. 5209</t>
  </si>
  <si>
    <t>8593539813910</t>
  </si>
  <si>
    <t>Карандаш автоматический 0,5мм KOH-I-NOOR  красный арт.5780008002KS</t>
  </si>
  <si>
    <t>8593539150602</t>
  </si>
  <si>
    <t>Карандаш автоматический 0,5мм KOH-I-NOOR  синий арт.5780008001KS</t>
  </si>
  <si>
    <t>8593539150572</t>
  </si>
  <si>
    <t>Карандаш автоматический 0,5мм deVENTE, НВ, с ластиком, полупрозр. корпус, резин.держатель, арт. 5010300</t>
  </si>
  <si>
    <t>4627079494958</t>
  </si>
  <si>
    <t>Карандаш автоматический 0,5мм deVENTE, НВ, с ластиком, полупрозр. корпус, резин.держатель, арт. 5010801</t>
  </si>
  <si>
    <t>4627149622359</t>
  </si>
  <si>
    <t>Карандаш автоматический 0.5мм ErichKrause BLACK POINTER черн. корпус, ластик, мет. наконечник арт.22005</t>
  </si>
  <si>
    <t>4041485220053</t>
  </si>
  <si>
    <t>Карандаш автоматический 0.5мм ErichKrause DELTA, ластик, корпус ассорти арт.22004</t>
  </si>
  <si>
    <t>4041485220046</t>
  </si>
  <si>
    <t>Карандаш автоматический 0.5мм ErichKrause MEGAPOLIS CONCEPT черн. корпус, резин. вставка, мет. наконечник арт.20340</t>
  </si>
  <si>
    <t>4041485203407</t>
  </si>
  <si>
    <t>Карандаш автоматический 0.5мм ErichKrause TROPIC цвет корпуса ассорти, ластик арт.20338</t>
  </si>
  <si>
    <t>4041485203384</t>
  </si>
  <si>
    <t>Карандаш автоматический 0.5мм ErichKrause VIVO неоновые цвета корпуса арт.45023</t>
  </si>
  <si>
    <t>4041485450238</t>
  </si>
  <si>
    <t>Карандаш автоматический 0.7мм ErichKrause MEGAPOLIS CONCEPT неоновый корпус, резин. вставки, мет. наконечник арт.44588</t>
  </si>
  <si>
    <t>4041485445883</t>
  </si>
  <si>
    <t>Карандаш автоматический 0.7мм OfficeSpace с ластиком, грип, ассорти арт.XP820C_3620</t>
  </si>
  <si>
    <t>4680211116200</t>
  </si>
  <si>
    <t>Карта памяти USB (флэш-накопитель)  4Gb Mirex UNIT BLACK с прозрачным колпачком арт.4 GB UNIT BLACK</t>
  </si>
  <si>
    <t>4620001056392</t>
  </si>
  <si>
    <t>Карта памяти USB (флэш-накопитель)  4Gb Mirex UNIT SILVER с прозрачным колпачком арт.4 GB UNIT SILVER</t>
  </si>
  <si>
    <t>4680038220012</t>
  </si>
  <si>
    <t>Карта памяти USB (флэш-накопитель)  8Gb Smartbuy "Wild series" Бегемот арт.SB8GBHip</t>
  </si>
  <si>
    <t>4690626009110</t>
  </si>
  <si>
    <t>Карта памяти USB (флэш-накопитель)  8Gb Smartbuy "Wild series" Кошка арт.SB8GBCatW</t>
  </si>
  <si>
    <t>4690626009080</t>
  </si>
  <si>
    <t>Карта памяти USB (флэш-накопитель)  8Gb Smartbuy "Wild series" Собака арт.SB8GBDgr</t>
  </si>
  <si>
    <t>4690626009059</t>
  </si>
  <si>
    <t>Карта памяти USB (флэш-накопитель)  8Gb Smartbuy Glossy series Orange с колпачком арт.SB8GBGS-Or</t>
  </si>
  <si>
    <t>4690626001107</t>
  </si>
  <si>
    <t>Карта памяти USB (флэш-накопитель)  8Gb Smartbuy Quartz series Black с колпачком арт.SB8GBQZ-K</t>
  </si>
  <si>
    <t>4690626026520</t>
  </si>
  <si>
    <t>Карта памяти USB (флэш-накопитель)  8Gb Smartbuy Quartz series Violet с колпачком арт.SB8GBQZ-V</t>
  </si>
  <si>
    <t>4690626031326</t>
  </si>
  <si>
    <t>Карта памяти USB (флэш-накопитель)  8Gb Smartbuy V-Cut Silver с колпачком (металл. корпус) арт.SB8GBVC-S</t>
  </si>
  <si>
    <t>4690626000254</t>
  </si>
  <si>
    <t>Карта памяти USB (флэш-накопитель) 16Gb Smartbuy "Wild series" Коровка арт.SB16GBCow</t>
  </si>
  <si>
    <t>4690626009158</t>
  </si>
  <si>
    <t>Карта памяти USB (флэш-накопитель) 16Gb Smartbuy "Wild series" Медведь (новогодний) арт.SB16GBCaribou</t>
  </si>
  <si>
    <t>4690626040915</t>
  </si>
  <si>
    <t>Карта памяти USB (флэш-накопитель) 16Gb Smartbuy "Wild series" Мотоцикл арт.SB16GBBike</t>
  </si>
  <si>
    <t>4690626031623</t>
  </si>
  <si>
    <t>Карта памяти USB (флэш-накопитель) 16Gb Smartbuy "Wild series" Олень арт.SB16GBCaribouQ</t>
  </si>
  <si>
    <t>4690626040922</t>
  </si>
  <si>
    <t>Карта памяти USB (флэш-накопитель) 16Gb Smartbuy "Wild series" Санта (новогодний) арт.SB16GBSantaS</t>
  </si>
  <si>
    <t>4690626040908</t>
  </si>
  <si>
    <t>Карта памяти USB (флэш-накопитель) 16Gb Smartbuy "Wild series" Футбольный мяч арт.SB16GBFB</t>
  </si>
  <si>
    <t>4690626012134</t>
  </si>
  <si>
    <t>Карта памяти USB (флэш-накопитель) 16Gb Smartbuy Glossy series Blue с колпачком арт.SB16GBGS-B</t>
  </si>
  <si>
    <t>4690626001220</t>
  </si>
  <si>
    <t>Карта памяти USB (флэш-накопитель) 16Gb Smartbuy Paean с колпачком, белая арт.SB16GBPN-W</t>
  </si>
  <si>
    <t>4690626028135</t>
  </si>
  <si>
    <t>Карта памяти USB (флэш-накопитель) 16Gb Smartbuy Quartz series Violet с колпачком арт.SB16GBQZ-V</t>
  </si>
  <si>
    <t>4690626031333</t>
  </si>
  <si>
    <t>Карта памяти USB (флэш-накопитель) 32Gb Smartbuy Glossy series Blue с колпачком арт.SB32GBGS-B</t>
  </si>
  <si>
    <t>4690626002173</t>
  </si>
  <si>
    <t>Карта памяти USB (флэш-накопитель) 32Gb Smartbuy Paean с колпачком, черная арт.SB32GBPN-K</t>
  </si>
  <si>
    <t>4690626031302</t>
  </si>
  <si>
    <t>Карта памяти USB (флэш-накопитель) 64Gb Smartbuy Glossy series Blue с колпачком арт.SB64GBGS-B</t>
  </si>
  <si>
    <t>4690626006737</t>
  </si>
  <si>
    <t>Карта памяти micro SDHC (флэш-накопитель)  8Gb Class 10 Smartbuy с адаптером SD арт.SB8GBSDCL10-01</t>
  </si>
  <si>
    <t>4607177552125</t>
  </si>
  <si>
    <t>Карта памяти micro SDHC (флэш-накопитель) 16Gb Class 10 Smartbuy без адаптера арт.SB16GBSDCL10-00</t>
  </si>
  <si>
    <t>4607177552156</t>
  </si>
  <si>
    <t>Defender</t>
  </si>
  <si>
    <t>Клавиатура проводная мультимедийная Slim SmartBuy 206 USB черная арт.SBK-206US-K</t>
  </si>
  <si>
    <t>4690626017344</t>
  </si>
  <si>
    <t>Клей АДМ супер-клей, 3гр., арт. GHS325B</t>
  </si>
  <si>
    <t>7630014900282</t>
  </si>
  <si>
    <t>4814297000041</t>
  </si>
  <si>
    <t>Клей ПВА 45 гр. в пласт. бут. с дозатором арт. 45КВ-ЭЛ</t>
  </si>
  <si>
    <t>4814297000010</t>
  </si>
  <si>
    <t>Клей ПВА 65 гр. в пласт. бут. с дозатором арт. 65КВ-ЭЛ</t>
  </si>
  <si>
    <t>4814297000027</t>
  </si>
  <si>
    <t>Клей ПВА 85 гр. в пласт. бут. с дозатором арт. 85КВ-ЭЛ</t>
  </si>
  <si>
    <t>4814297000034</t>
  </si>
  <si>
    <t>Клей силикатный 120 гр. в пласт. бут. арт. 120_ЭКСП-ЭЛ</t>
  </si>
  <si>
    <t>4814297000065</t>
  </si>
  <si>
    <t>Клей силикатный 90 гр. в пласт. бут. арт.90-ЭЛ</t>
  </si>
  <si>
    <t>4814297000058</t>
  </si>
  <si>
    <t>Клей-карандаш Attomex 15 г., PVA основа, в картонном дисплее, арт. 4042301</t>
  </si>
  <si>
    <t>4627078936329</t>
  </si>
  <si>
    <t>Клей-карандаш Attomex 36 г., PVA основа, в картонном дисплее, арт. 4042303</t>
  </si>
  <si>
    <t>4627078936367</t>
  </si>
  <si>
    <t>Клей-карандаш Berlingo "Fuze", 10г. арт.K2010</t>
  </si>
  <si>
    <t>4260107494065</t>
  </si>
  <si>
    <t>Клей-карандаш Berlingo "Fuze", 20г. арт.K2012</t>
  </si>
  <si>
    <t>4260107494089</t>
  </si>
  <si>
    <t>Клей-карандаш ErichKrause  8г. в карт. дисплее арт.4433</t>
  </si>
  <si>
    <t>4041485044338</t>
  </si>
  <si>
    <t>Клей-карандаш ErichKrause 15г. в карт. дисплее арт.4443</t>
  </si>
  <si>
    <t>4041485044437</t>
  </si>
  <si>
    <t>Клей-карандаш ErichKrause 36г. в карт. дисплее  арт.14443</t>
  </si>
  <si>
    <t>4041485144434</t>
  </si>
  <si>
    <t>Клейкая бумага д/заметок ErichKrause (75*75) NEON ассорти арт.34965</t>
  </si>
  <si>
    <t>4041485349655</t>
  </si>
  <si>
    <t>Клейкая бумага д/заметок ErichKrause (75*75) NEON желтая арт.7336</t>
  </si>
  <si>
    <t>4041485073369</t>
  </si>
  <si>
    <t>Клейкая бумага д/заметок ErichKrause (75*75) NEON зелен. арт.7335</t>
  </si>
  <si>
    <t>4041485073352</t>
  </si>
  <si>
    <t>Клейкая бумага д/заметок ErichKrause (75*75) NEON оранж. арт.7337</t>
  </si>
  <si>
    <t>4041485073376</t>
  </si>
  <si>
    <t>Клейкая бумага д/заметок ErichKrause (75*75) NEON розовая арт.7323</t>
  </si>
  <si>
    <t>4041485073239</t>
  </si>
  <si>
    <t>Клейкая бумага д/заметок ErichKrause (75*75) голубая арт.11567</t>
  </si>
  <si>
    <t>4041485115670</t>
  </si>
  <si>
    <t>Клейкая бумага д/заметок ErichKrause (75*75) желтая арт.59044</t>
  </si>
  <si>
    <t>4041485590446</t>
  </si>
  <si>
    <t>Клейкая бумага д/заметок ErichKrause (75*75) зеленая арт.11566</t>
  </si>
  <si>
    <t>4041485115663</t>
  </si>
  <si>
    <t>Клейкая бумага д/заметок ErichKrause (75*75) розовая арт.11561</t>
  </si>
  <si>
    <t>4041485115618</t>
  </si>
  <si>
    <t>Клейкая бумага д/заметок deVENTE "Fancy" (70*70) 50л,  пастельная с рисунком, цвета и формы ассорти арт.2010800</t>
  </si>
  <si>
    <t>4627154331482</t>
  </si>
  <si>
    <t>Клейкая бумага д/заметок deVENTE (50*50) 250л,  5 неоновых цветов арт.2010335</t>
  </si>
  <si>
    <t>4627077806807</t>
  </si>
  <si>
    <t>Клейкая бумага д/заметок deVENTE (51*76) 100л,  неон голубая арт.2010316</t>
  </si>
  <si>
    <t>4627077806425</t>
  </si>
  <si>
    <t>Клейкая бумага д/заметок deVENTE (51*76) 100л,  неон желтая арт.2010312</t>
  </si>
  <si>
    <t>4627077806340</t>
  </si>
  <si>
    <t>Клейкая бумага д/заметок deVENTE (51*76) 100л,  неон зеленая арт.2010313</t>
  </si>
  <si>
    <t>4627077806364</t>
  </si>
  <si>
    <t>Клейкая бумага д/заметок deVENTE (51*76) 100л,  неон коралловая арт.2010314</t>
  </si>
  <si>
    <t>4627077806388</t>
  </si>
  <si>
    <t>Клейкая бумага д/заметок deVENTE (51*76) 100л,  неон оранжевая арт.2010315</t>
  </si>
  <si>
    <t>4627077806401</t>
  </si>
  <si>
    <t>Клейкая бумага д/заметок deVENTE (51*76) 100л, голубая арт.2010311</t>
  </si>
  <si>
    <t>4627077806326</t>
  </si>
  <si>
    <t>Клейкая бумага д/заметок deVENTE (51*76) 100л, желтая арт.2010308</t>
  </si>
  <si>
    <t>4627077806265</t>
  </si>
  <si>
    <t>Клейкая бумага д/заметок deVENTE (51*76) 100л, зеленая арт.2010309</t>
  </si>
  <si>
    <t>4627077806289</t>
  </si>
  <si>
    <t>Клейкая бумага д/заметок deVENTE (51*76) 100л, розовая арт.2010310</t>
  </si>
  <si>
    <t>4627077806302</t>
  </si>
  <si>
    <t>Клейкая бумага д/заметок deVENTE (76*76) 100л,  неон голубая арт.2010333</t>
  </si>
  <si>
    <t>4627077806685</t>
  </si>
  <si>
    <t>Клейкая бумага д/заметок deVENTE (76*76) 100л,  неон желтая арт.2010329</t>
  </si>
  <si>
    <t>4627077806708</t>
  </si>
  <si>
    <t>Клейкая бумага д/заметок deVENTE (76*76) 100л,  неон зеленая арт.2010330</t>
  </si>
  <si>
    <t>4627077806722</t>
  </si>
  <si>
    <t>Клейкая бумага д/заметок deVENTE (76*76) 100л,  неон коралловая арт.2010331</t>
  </si>
  <si>
    <t>4627077806746</t>
  </si>
  <si>
    <t>Клейкая бумага д/заметок deVENTE (76*76) 100л,  неон оранжевая арт.2010332</t>
  </si>
  <si>
    <t>4627077806760</t>
  </si>
  <si>
    <t>Клейкая бумага д/заметок deVENTE (76*76) 100л, желтая арт.2010325</t>
  </si>
  <si>
    <t>4627077806609</t>
  </si>
  <si>
    <t>Клейкая бумага д/заметок deVENTE (76*76) 100л, зеленая арт.2010326</t>
  </si>
  <si>
    <t>4627077806623</t>
  </si>
  <si>
    <t>Клейкая бумага д/заметок deVENTE (76*76) 100л, розовая арт.2010327</t>
  </si>
  <si>
    <t>4627077806647</t>
  </si>
  <si>
    <t>Книга учета А4 96л клетка, газетный блок/ обложка твердый картон, прошитая арт.2056404 (КУ111)</t>
  </si>
  <si>
    <t>4607068558540</t>
  </si>
  <si>
    <t>Книга учета А4 96л клетка, газетный блок/ обложка твердый картон, прошитая арт.CL-98-325 / 153185</t>
  </si>
  <si>
    <t>4610008521931</t>
  </si>
  <si>
    <t>Книга учета А4 96л линейка, газетный блок / обложка картон, на склейке арт.CL-98-326(153190)</t>
  </si>
  <si>
    <t>4610008521948</t>
  </si>
  <si>
    <t>Книга учета А4 96л линейка, газетный блок/ обложка твердый картон, прошитая арт.2056405 (КУ112)</t>
  </si>
  <si>
    <t>4607068558557</t>
  </si>
  <si>
    <t>Книга учета А4 96л линейка, офсет/ обложка бумвинил, твердый переплет, прошитая арт.2056426 (КУ522)</t>
  </si>
  <si>
    <t>4607068558724</t>
  </si>
  <si>
    <t>Кнопки канцелярские 10 мм, 100 шт карт. уп. арт.К10-100</t>
  </si>
  <si>
    <t>4602078000775</t>
  </si>
  <si>
    <t>Кнопки канцелярские ErichKrause, омедненные, 100 шт. в карт. коробочке арт.24875</t>
  </si>
  <si>
    <t>4041485248750</t>
  </si>
  <si>
    <t>Кнопки канцелярские силовые Erich Krause, 50 шт. в карт. коробочке арт.24877</t>
  </si>
  <si>
    <t>4041485248774</t>
  </si>
  <si>
    <t>Коврик д/мыши Defender Silver Laser 220*180*0.4мм, полипропилен, асс. арт.50410</t>
  </si>
  <si>
    <t>4712279504108</t>
  </si>
  <si>
    <t>ТЭНЛИВА</t>
  </si>
  <si>
    <t>Конверт DL силикон зам. 1000 шт./уп. 110*220мм, 80 г/м2 с внутренней запечаткой арт.1103</t>
  </si>
  <si>
    <t>Конверт С4 силикон. зам. 500 шт./уп 229*324мм, белый, 90 г/м2, Postfix, с внутр. запеч., клапан с шир. стороны арт.1603</t>
  </si>
  <si>
    <t>Конверт С5 силикон. зам. 1000 шт./уп. 162*229мм, 80 г/м2, с внутр. запеч., клапан по широкой стороне арт.1403</t>
  </si>
  <si>
    <t>Конверт С6 силикон. зам. 1000 шт./уп 114*162мм, клапан по широкой стороне арт.1020</t>
  </si>
  <si>
    <t>Курт</t>
  </si>
  <si>
    <t>Конверт бумажный на 1 CD / DVD диск, 125*125 (25 шт), с клеевой запечаткой, белый арт.201060.25</t>
  </si>
  <si>
    <t>4680004012368</t>
  </si>
  <si>
    <t>Конверт бумажный на 1 CD / DVD диск, 125*125 (25 шт), с клеевой запечаткой, белый, с окном арт.201070.25</t>
  </si>
  <si>
    <t>4680004012726</t>
  </si>
  <si>
    <t>Копировальная бумага А4 50 л черн. арт.СР_341(175034)</t>
  </si>
  <si>
    <t>4610008523416</t>
  </si>
  <si>
    <t>Копировальная бумага А4 50 л. deVENTE синяя, в картон. коробке, арт. 2041300</t>
  </si>
  <si>
    <t>4627077803059</t>
  </si>
  <si>
    <t>Копировальная бумага А4 50 л. deVENTE фиолетовая, в картон. коробке, арт. 2041400</t>
  </si>
  <si>
    <t>4627096905802</t>
  </si>
  <si>
    <t>Копировальная бумага А4 50 л. deVENTE черная, в картон. коробке, арт. 2041301</t>
  </si>
  <si>
    <t>4627077803073</t>
  </si>
  <si>
    <t>Корзина 9л сетчатая серая арт.КР22</t>
  </si>
  <si>
    <t>4620000630111</t>
  </si>
  <si>
    <t>Корзина 9л сетчатая черная арт.КР21</t>
  </si>
  <si>
    <t>4620000630104</t>
  </si>
  <si>
    <t>KOROBOFF</t>
  </si>
  <si>
    <t>Короб архив. 100мм (327х100х240) из трехслойн. гофр. картона, бурый Koroboff арт.100_бурый_Koroboff</t>
  </si>
  <si>
    <t>Короб архив. 120мм (322х120х240) из гофр. картона, белый, синяя печать Koroboff арт.120_син печ_Koroboff</t>
  </si>
  <si>
    <t>Короб архив. 150мм (327х150х240) из гофр. картона, белый, фиолетовая печать Koroboff арт.150_фиолет печ_Koroboff</t>
  </si>
  <si>
    <t>Короб архив. 150мм (327х150х240) из гофр. картона, бурый Koroboff арт.150_бурый Koroboff</t>
  </si>
  <si>
    <t>Короб архив. 80мм (322х80х240) из трехслойн. гофр. картона, бурый, Koroboff арт.80_бурый_Koroboff</t>
  </si>
  <si>
    <t>Корректор ШТРИХ, с кисточкой, 27г арт.341002</t>
  </si>
  <si>
    <t>4600395000027</t>
  </si>
  <si>
    <t>Kores</t>
  </si>
  <si>
    <t>Краска штемпельная 27мл красная с капельницей Kores (на водной основе) арт.71328</t>
  </si>
  <si>
    <t>9023800713285</t>
  </si>
  <si>
    <t>Краска штемпельная 27мл синяя с капельницей Kores (на водной основе) арт.71308</t>
  </si>
  <si>
    <t>9023800713087</t>
  </si>
  <si>
    <t>Краска штемпельная 27мл фиолетовая с капельницей Kores (на водной основе) арт.71348</t>
  </si>
  <si>
    <t>9023800713483</t>
  </si>
  <si>
    <t>Краска штемпельная 70мл синяя (на водной основе) арт. 310014</t>
  </si>
  <si>
    <t>4600395021169</t>
  </si>
  <si>
    <t>Краска штемпельная OfficeSpace синяя с капельн. 50мл. (на водно-спиртовой основе) арт.ШКс_9221</t>
  </si>
  <si>
    <t>4680211072216</t>
  </si>
  <si>
    <t>Краска штемпельная OfficeSpace фиолетовая с капельн. 50мл. (на водно-спиртовой основе) арт.ШКф_9222</t>
  </si>
  <si>
    <t>4680211072223</t>
  </si>
  <si>
    <t>Краска штемпельная OfficeSpace черная с капельн. 50мл. (на водно-спиртовой основе) арт.ШКч_9220</t>
  </si>
  <si>
    <t>4680211072209</t>
  </si>
  <si>
    <t>Крепп  (для оклейки окон) 50мм*30м. белый Klebebander  арт.015/36/6</t>
  </si>
  <si>
    <t>7630014907991</t>
  </si>
  <si>
    <t>Ластик Attomex 31х15х11мм, синтетический каучук, белый арт. 4070321</t>
  </si>
  <si>
    <t>4627086821792</t>
  </si>
  <si>
    <t>Ластик Berlingo "Arrow", треугольный арт.BLc_00310</t>
  </si>
  <si>
    <t>4260107485797</t>
  </si>
  <si>
    <t>4041485397830</t>
  </si>
  <si>
    <t>Ластик ErichKrause "DRIVE", ассорти арт.35779</t>
  </si>
  <si>
    <t>4041485357797</t>
  </si>
  <si>
    <t>Ластик ErichKrause "NICE LITTLE THING" арт.7027</t>
  </si>
  <si>
    <t>4041485070276</t>
  </si>
  <si>
    <t>Ластик ErichKrause "Pillow" арт.44477</t>
  </si>
  <si>
    <t>4041485444770</t>
  </si>
  <si>
    <t>Ластик ErichKrause "Prism" арт.44479</t>
  </si>
  <si>
    <t>4041485444794</t>
  </si>
  <si>
    <t>Ластик ErichKrause с центровкой "SMART" овал арт.45532</t>
  </si>
  <si>
    <t>4041485455325</t>
  </si>
  <si>
    <t>Ластик KOH-I-NOOR "Зверюшки" мягкий 48 шт./ упак  арт.6875/40</t>
  </si>
  <si>
    <t>859353211143</t>
  </si>
  <si>
    <t>8593539106340</t>
  </si>
  <si>
    <t>Ластик KOH-I-NOOR 50гр. в пакете ассорти арт.6510005010PS</t>
  </si>
  <si>
    <t>Ластик KOH-I-NOOR BLUE STAR(6521) 40шт. в коробке арт.6521/40</t>
  </si>
  <si>
    <t>8593539106432</t>
  </si>
  <si>
    <t>Ластик KOH-I-NOOR BLUE STAR(6521) 56шт. в коробке арт.6521/60</t>
  </si>
  <si>
    <t>8593539106456</t>
  </si>
  <si>
    <t>Ластик KOH-I-NOOR BLUE STAR(6521) 84шт. в коробке арт.6521/80</t>
  </si>
  <si>
    <t>8593539106470</t>
  </si>
  <si>
    <t>Ластик KOH-I-NOOR ELEPHANT(300) 08шт. в коробке арт.300/08</t>
  </si>
  <si>
    <t>8593539097198</t>
  </si>
  <si>
    <t>Ластик KOH-I-NOOR ELEPHANT(300) 12шт. в коробке арт.300/12</t>
  </si>
  <si>
    <t>8593539097204</t>
  </si>
  <si>
    <t>Ластик KOH-I-NOOR ELEPHANT(300) 20шт. в коробке арт.300/20</t>
  </si>
  <si>
    <t>8593539095316</t>
  </si>
  <si>
    <t>Ластик KOH-I-NOOR ELEPHANT(300) 27шт. в коробке арт.300/30</t>
  </si>
  <si>
    <t>8593539095323</t>
  </si>
  <si>
    <t>Ластик KOH-I-NOOR ELEPHANT(300) 48 шт. в коробке арт.300/40</t>
  </si>
  <si>
    <t>8593539095330</t>
  </si>
  <si>
    <t>Ластик KOH-I-NOOR ELEPHANT(300) 60шт. в коробке арт.300/60</t>
  </si>
  <si>
    <t>8593539095347</t>
  </si>
  <si>
    <t>Ластик KOH-I-NOOR ELEPHANT(300) 80шт. в коробке арт.300/80</t>
  </si>
  <si>
    <t>Ластик KOH-I-NOOR PROGRESSO (6821), 84шт. в коробке арт.6821/80</t>
  </si>
  <si>
    <t>8593539106715</t>
  </si>
  <si>
    <t>Ластик KOH-I-NOOR SUNPEARL(6541) 40шт. в коробке арт.6541/40</t>
  </si>
  <si>
    <t>Ластик KOH-I-NOOR SUNPEARL(6541) 56шт. в коробке арт.6541/60</t>
  </si>
  <si>
    <t>8593539106555</t>
  </si>
  <si>
    <t>Ластик KOH-I-NOOR SUNPEARL(6541) 84шт. в коробке арт.6541/80</t>
  </si>
  <si>
    <t>8593539106579</t>
  </si>
  <si>
    <t>Ластик KOH-I-NOOR МАGIC 48шт./уп. арт.6516/40</t>
  </si>
  <si>
    <t>8593539079446</t>
  </si>
  <si>
    <t>Ластик KOH-I-NOOR в карандаше, белый корпус, в блистере арт.6312001001BL</t>
  </si>
  <si>
    <t>8593539231271</t>
  </si>
  <si>
    <t>Ластик KOH-I-NOOR выдвижной в ручке пластмассовoй арт.9736000002PS</t>
  </si>
  <si>
    <t>8593539174752</t>
  </si>
  <si>
    <t>Ластик KOH-I-NOOR запасной к арт.9736 арт.9737000002PS</t>
  </si>
  <si>
    <t>8593539174783</t>
  </si>
  <si>
    <t>Ластик KOH-I-NOOR пластический 6200 WATER 60шт./уп. в коробке арт.6200007001KK</t>
  </si>
  <si>
    <t>8593539193739</t>
  </si>
  <si>
    <t>Ластик KOH-I-NOOR пластический 6225 MOUSE BIG 18шт./уп. в коробке арт.6225001001KK</t>
  </si>
  <si>
    <t>8593539193746</t>
  </si>
  <si>
    <t>Ластик KOH-I-NOOR пластический 6225 MOUSE SMALL 24шт./уп. в коробке арт.6225002001KK</t>
  </si>
  <si>
    <t>8593539193753</t>
  </si>
  <si>
    <t>Ластик KOH-I-NOOR пластичный для графита (В-6В)  арт.6423/18</t>
  </si>
  <si>
    <t>8593539076162</t>
  </si>
  <si>
    <t>Ластик KOH-I-NOOR пластичный для графита (В-6В) арт.6421/18</t>
  </si>
  <si>
    <t>Ластик KOH-I-NOOR пластичный для графита (В-6В) в пластиковой упаковке арт.6422/15</t>
  </si>
  <si>
    <t>8593539075516</t>
  </si>
  <si>
    <t>Ластик deVENTE 40х18х11мм, натуральный каучук, флуоресцентный ассорти арт. 4070318</t>
  </si>
  <si>
    <t>4627086821730</t>
  </si>
  <si>
    <t>Ластик deVENTE 51х23х10мм, овальный, натуральный каучук, арт. 4070316</t>
  </si>
  <si>
    <t>4627077804384</t>
  </si>
  <si>
    <t>Лезвия д/канц. ножа ErichKrause 09мм 10шт. арт.19275</t>
  </si>
  <si>
    <t>4041485192756</t>
  </si>
  <si>
    <t>Лезвия д/канц. ножа ErichKrause 18мм 10шт. арт.19274</t>
  </si>
  <si>
    <t>4041485192749</t>
  </si>
  <si>
    <t>Лезвия д/канц. ножа deVENTE 09мм 10шт. арт.4092300</t>
  </si>
  <si>
    <t>4627077803479</t>
  </si>
  <si>
    <t>Лезвия д/канц. ножа deVENTE 18мм 10шт. арт.4092301</t>
  </si>
  <si>
    <t>4627077803493</t>
  </si>
  <si>
    <t>Академия Групп</t>
  </si>
  <si>
    <t>Лента упаковочная декоративная, 4м*5мм, матовая, набор 6шт арт.29121</t>
  </si>
  <si>
    <t>4690401131302</t>
  </si>
  <si>
    <t>Можга</t>
  </si>
  <si>
    <t>Линейка  классная деревянная 100см. арт.С363/362</t>
  </si>
  <si>
    <t>4601822003215</t>
  </si>
  <si>
    <t>Линейка  офицерская зеленая, отливная шкала арт.ТТ01</t>
  </si>
  <si>
    <t>4620000633068</t>
  </si>
  <si>
    <t>Линейка 15 см NEON Cristal с волнистым краем, ассорти арт.ЛН174</t>
  </si>
  <si>
    <t>4650066304763</t>
  </si>
  <si>
    <t>Линейка 20 см Attomex непрозрачная черная, арт.5091301</t>
  </si>
  <si>
    <t>4627077804537</t>
  </si>
  <si>
    <t>Линейка 20 см deVENTE полупрозрачная цветная, арт.5091319</t>
  </si>
  <si>
    <t>4627077804896</t>
  </si>
  <si>
    <t>Линейка 20 см с держ. флю прозр. (4цв) арт.ЛН17</t>
  </si>
  <si>
    <t>4620000637653</t>
  </si>
  <si>
    <t>Линейка 25 см полупрозрачная deVENTE, арт. 5091320</t>
  </si>
  <si>
    <t>4627077804919</t>
  </si>
  <si>
    <t>Линейка 30 см ErichKrause пластиковая CLEAR, прозрачная арт.39077</t>
  </si>
  <si>
    <t>4670009105974</t>
  </si>
  <si>
    <t>Линейка 30см с держ. прозр. тонир. арт.ЛН44</t>
  </si>
  <si>
    <t>4620000630395</t>
  </si>
  <si>
    <t>Линейка 40 см флю (4цв) арт.ЛН51</t>
  </si>
  <si>
    <t>4620000630401</t>
  </si>
  <si>
    <t>Линейка 50 см флю (4цв) арт.ЛН93</t>
  </si>
  <si>
    <t>4620000637967</t>
  </si>
  <si>
    <t>Линейка deVENTE "Flex" 30 см, гибкая, прозрачная синяя, в блистерной упаковке, арт. 5091353</t>
  </si>
  <si>
    <t>4627079498864</t>
  </si>
  <si>
    <t>Линейка деревянная 15 см Attomex в пласт. пакете, арт. 5091800</t>
  </si>
  <si>
    <t>4627140009371</t>
  </si>
  <si>
    <t>Линейка деревянная 20 см Attomex в пласт. пакете, арт. 5091801</t>
  </si>
  <si>
    <t>4627140009395</t>
  </si>
  <si>
    <t>Линейка деревянная 25 см Attomex в пласт. пакете, арт. 5091802</t>
  </si>
  <si>
    <t>4627140009418</t>
  </si>
  <si>
    <t>Линейка деревянная 30 см Attomex в пласт. пакете, арт. 5091803</t>
  </si>
  <si>
    <t>4627140009432</t>
  </si>
  <si>
    <t>Линейка мет. 15 см deVENTE, двусторонняя, толщина 0,5 мм, в пластиковом чехле арт.5091349</t>
  </si>
  <si>
    <t>4627079498789</t>
  </si>
  <si>
    <t>Линейка мет. 20 см deVENTE, двусторонняя, толщина 0,5 мм, в пластиковом чехле арт.5091350</t>
  </si>
  <si>
    <t>4627079498802</t>
  </si>
  <si>
    <t>Линейка мет. 30 см deVENTE, двусторонняя, толщина 0,5 мм, в пластиковом чехле арт.5091351</t>
  </si>
  <si>
    <t>4627079498826</t>
  </si>
  <si>
    <t>Линейка мет. 50 см deVENTE, двусторонняя, толщина 0,5 мм, в пластиковом чехле арт.5091352</t>
  </si>
  <si>
    <t>4627079498840</t>
  </si>
  <si>
    <t>Линейка справочная 20 см "Таблица умножения" арт.ЛС02</t>
  </si>
  <si>
    <t>4620000638131</t>
  </si>
  <si>
    <t>Линейка-рейсшина 15 см пластиковый ролик арт.ЛР01</t>
  </si>
  <si>
    <t>4620000638193</t>
  </si>
  <si>
    <t>Линейка-рейсшина 22 см металлический ролик арт.ЛР15</t>
  </si>
  <si>
    <t>4620000638346</t>
  </si>
  <si>
    <t>Линейка-рейсшина 22 см пластиковый ролик арт.ЛР10</t>
  </si>
  <si>
    <t>4620000638209</t>
  </si>
  <si>
    <t>Линейка-рейсшина 30 см металлический ролик арт.ЛР25</t>
  </si>
  <si>
    <t>4620000638353</t>
  </si>
  <si>
    <t>Линейка-рейсшина 30 см пластиковый ролик арт.ЛР20</t>
  </si>
  <si>
    <t>4620000638216</t>
  </si>
  <si>
    <t>Лотки набор 2 шт. гориз.на метал.стержнях черный арт.ЛТ102</t>
  </si>
  <si>
    <t>4620000637936</t>
  </si>
  <si>
    <t>Лотки набор 3 шт. гориз.на метал.стержнях черный арт.ЛТ112</t>
  </si>
  <si>
    <t>4620000637950</t>
  </si>
  <si>
    <t>Лоток 3-х секционный ЭКОНОМ (2 отделения) черный арт.ЛТ410</t>
  </si>
  <si>
    <t>4670004012406</t>
  </si>
  <si>
    <t>Лоток 5-ми секционный ВЕЕР тонированный серый арт.ЛТ93</t>
  </si>
  <si>
    <t>4620000637325</t>
  </si>
  <si>
    <t>Лоток 5-ти секционный ВЕЕР черный арт.ЛТ91</t>
  </si>
  <si>
    <t>4620000637165</t>
  </si>
  <si>
    <t>Лоток 6-ти секционный ВЕЕР черный арт.ЛТ96</t>
  </si>
  <si>
    <t>4620000637189</t>
  </si>
  <si>
    <t>Лоток 7-ми секционный ВЕЕР черный арт.ЛТ41</t>
  </si>
  <si>
    <t>4620000630654</t>
  </si>
  <si>
    <t>Лоток deVENTE 2-х секционный стальной мэш, 35х29х18 см, черный, арт. 3101702</t>
  </si>
  <si>
    <t>4627140008534</t>
  </si>
  <si>
    <t>Лоток вертикальный Berlingo "Mega top" 90 мм серый, арт. MLv_00508</t>
  </si>
  <si>
    <t>4620011431943</t>
  </si>
  <si>
    <t>Лоток вертикальный Berlingo "Mega top" 90 мм тонированный красный, арт. MLv_00503</t>
  </si>
  <si>
    <t>4620011432292</t>
  </si>
  <si>
    <t>Лоток вертикальный ErichKrause "BASIC" 75мм, серый арт.15120</t>
  </si>
  <si>
    <t>4607048504369</t>
  </si>
  <si>
    <t>Лоток вертикальный ErichKrause "BASIC" 75мм, черный арт.15119</t>
  </si>
  <si>
    <t>4607048504352</t>
  </si>
  <si>
    <t>Лоток вертикальный ЛИДЕР 75 мм, черный эконом арт. ОФ100</t>
  </si>
  <si>
    <t>4650066309430</t>
  </si>
  <si>
    <t>Лоток вертикальный СТАММ УЛЬТРА 100 мм серый арт.ЛТ01</t>
  </si>
  <si>
    <t>4620000630494</t>
  </si>
  <si>
    <t>Лоток вертикальный СТАММ УЛЬТРА 100 мм черный арт.ЛТ02</t>
  </si>
  <si>
    <t>Лоток вертикальный ФАВОРИТ 90 мм, тонированный "Вишня" арт. ЛТ708</t>
  </si>
  <si>
    <t>4670004012307</t>
  </si>
  <si>
    <t>Лоток вертикальный ФАВОРИТ 90 мм, тонированный "Лайм" арт. ЛТ707</t>
  </si>
  <si>
    <t>4670004012291</t>
  </si>
  <si>
    <t>Лоток вертикальный ФАВОРИТ 90 мм, тонированный серый арт. ЛТ703</t>
  </si>
  <si>
    <t>4670004011560</t>
  </si>
  <si>
    <t>Лоток вертикальный ФАВОРИТ 90 мм, черный  арт. ЛТ705</t>
  </si>
  <si>
    <t>4670004011584</t>
  </si>
  <si>
    <t>Лоток горизонтальный ErichKrause прозрачный арт.16246</t>
  </si>
  <si>
    <t>4607048504383</t>
  </si>
  <si>
    <t>Лоток горизонтальный ErichKrause черный арт.16249</t>
  </si>
  <si>
    <t>4607048504420</t>
  </si>
  <si>
    <t>Лоток горизонтальный ДЕЛЬТА черный, арт. ЛТ651</t>
  </si>
  <si>
    <t>4650066306767</t>
  </si>
  <si>
    <t>Лоток горизонтальный ЭКСПЕРТ черный арт.ОФ444</t>
  </si>
  <si>
    <t>4650066309164</t>
  </si>
  <si>
    <t>Лоток для бумаг 3-х уровневый Berlingo "Steel&amp;Style", материал стальной мэш, цвет серебро арт.BMs_41031</t>
  </si>
  <si>
    <t>4260107494263</t>
  </si>
  <si>
    <t>Лоток для бумаг 3-х уровневый Berlingo "Steel&amp;Style", материал стальной мэш, черный арт.BMs_41032</t>
  </si>
  <si>
    <t>4260107494232</t>
  </si>
  <si>
    <t>Лоток для бумаг Berlingo "Steel&amp;Style" вертикальный, материал стальной мэш, цвет серебро арт.BMs_41091</t>
  </si>
  <si>
    <t>4260107494324</t>
  </si>
  <si>
    <t>Лоток для бумаг Berlingo "Steel&amp;Style" вертикальный, материал стальной мэш, черный арт.BMs_41092</t>
  </si>
  <si>
    <t>4260107494300</t>
  </si>
  <si>
    <t>Лоток для бумаг Berlingo "Steel&amp;Style" горизонтальный, материал стальной мэш, цвет серебро арт.BMs_41011</t>
  </si>
  <si>
    <t>4260107494478</t>
  </si>
  <si>
    <t>Лоток для бумаг Berlingo "Steel&amp;Style" горизонтальный, материал стальной мэш, черный арт.BMs_41012</t>
  </si>
  <si>
    <t>4260107494355</t>
  </si>
  <si>
    <t>Лоток для бумаг ErichKrause вертикальный, материал стальной мэш, цвет серебро арт.22510</t>
  </si>
  <si>
    <t>4041485225102</t>
  </si>
  <si>
    <t>Лоток сборный вертикальный 4 отделения черный арт.ЛТ83</t>
  </si>
  <si>
    <t>4620000637226</t>
  </si>
  <si>
    <t>Лоток сборный вертикальный 6 отделений черный арт.ЛТ87</t>
  </si>
  <si>
    <t>4620000637264</t>
  </si>
  <si>
    <t>Магниты для доски "Attomex" 30 мм 5шт, карт. блистер, цвета ассорти арт.6021701</t>
  </si>
  <si>
    <t>4627135526883</t>
  </si>
  <si>
    <t>Магниты для доски "deVENTE" 4 см 4шт, карт. блистер, цвета ассорти арт.6021303</t>
  </si>
  <si>
    <t>4627079490363</t>
  </si>
  <si>
    <t>Магниты для доски "deVENTE. Smile" 3 см 6шт, карт. блистер арт.6021501</t>
  </si>
  <si>
    <t>4627102055873</t>
  </si>
  <si>
    <t>Маркер CD-PEN 1мм /M для компакт-дисков черный арт.4606 0112</t>
  </si>
  <si>
    <t>8595013631805</t>
  </si>
  <si>
    <t>Маркер Double (с двумя разными наконечниками) для CD/DVD перманентный 0,6/2,5 мм, красный арт.3616 0104</t>
  </si>
  <si>
    <t>8595013627891</t>
  </si>
  <si>
    <t>Маркер Double (с двумя разными наконечниками) для CD/DVD перманентный 0,6/2,5 мм, синий арт.3616 0106</t>
  </si>
  <si>
    <t>8595013627914</t>
  </si>
  <si>
    <t>Маркер Double (с двумя разными наконечниками) для CD/DVD перманентный 0,6/2,5 мм, черный арт.3616 0112</t>
  </si>
  <si>
    <t>8595013627693</t>
  </si>
  <si>
    <t>Маркер FLIPCHART для письма на бумаге  черный арт.8550 0112</t>
  </si>
  <si>
    <t>8595013615447</t>
  </si>
  <si>
    <t>Маркер GOLD золотистый 1,0мм  арт.2670 0195</t>
  </si>
  <si>
    <t>8595013624029</t>
  </si>
  <si>
    <t>Маркер SILVER серебристый 1,0мм арт.2670 0194</t>
  </si>
  <si>
    <t>8595013624012</t>
  </si>
  <si>
    <t>Маркер для белой доски deVENTE шир.5,0 мм, круглый корпус, пулевидный наконечник, красный арт.5040304</t>
  </si>
  <si>
    <t>4627077809778</t>
  </si>
  <si>
    <t>Маркер для белой доски deVENTE шир.5,0 мм, круглый корпус, пулевидный наконечник, черный арт.5040306</t>
  </si>
  <si>
    <t>4627077809815</t>
  </si>
  <si>
    <t>Маркер для белой доски шир.1,8 мм зеленый арт.2709 8710</t>
  </si>
  <si>
    <t>8595013624944</t>
  </si>
  <si>
    <t>Маркер для белой доски шир.1,8 мм красный арт.2709 8704</t>
  </si>
  <si>
    <t>8595013624920</t>
  </si>
  <si>
    <t>Маркер для белой доски шир.1,8 мм синий арт.2709 8717</t>
  </si>
  <si>
    <t>8595013624968</t>
  </si>
  <si>
    <t>Маркер для белой доски шир.1,8 мм черный арт.2709 8712</t>
  </si>
  <si>
    <t>8595013624951</t>
  </si>
  <si>
    <t>Маркер для белой доски шир.2,5 мм зеленый арт.8559 0110</t>
  </si>
  <si>
    <t>8595013615553</t>
  </si>
  <si>
    <t>Маркер для белой доски шир.2,5 мм красный арт.8559 0104</t>
  </si>
  <si>
    <t>8595013615539</t>
  </si>
  <si>
    <t>Маркер для белой доски шир.2,5 мм оранжевый арт.8559 0102</t>
  </si>
  <si>
    <t>8595013635049</t>
  </si>
  <si>
    <t>Маркер для белой доски шир.2,5 мм розовый арт.8559 0103</t>
  </si>
  <si>
    <t>8595013635100</t>
  </si>
  <si>
    <t>Маркер для белой доски шир.2,5 мм синий арт.8559 0117</t>
  </si>
  <si>
    <t>8595013615577</t>
  </si>
  <si>
    <t>Маркер для белой доски шир.2,5 мм фиолетовый арт.8559 0105</t>
  </si>
  <si>
    <t>8595013635117</t>
  </si>
  <si>
    <t>Маркер для белой доски шир.2,5 мм черный арт.8559 0112</t>
  </si>
  <si>
    <t>8595013615560</t>
  </si>
  <si>
    <t>Маркер не перманент, нестираемый,смываемый водой 1,0мм /M черный арт.2647 0112</t>
  </si>
  <si>
    <t>8595013611586</t>
  </si>
  <si>
    <t>Маркер-выделитель Attomex (1-4 мм), плоский корпус, скошенный наконечник, желтый арт.5045300</t>
  </si>
  <si>
    <t>4627078932536</t>
  </si>
  <si>
    <t>Маркер-выделитель Attomex (1-4 мм), плоский корпус, скошенный наконечник, зеленый арт.5045301</t>
  </si>
  <si>
    <t>4627078932550</t>
  </si>
  <si>
    <t>Маркер-выделитель Attomex (1-4 мм), плоский корпус, скошенный наконечник, оранжевый арт.5045302</t>
  </si>
  <si>
    <t>4627078932574</t>
  </si>
  <si>
    <t>Маркер-выделитель Attomex (1-4 мм), плоский корпус, скошенный наконечник, розовый арт.5045303</t>
  </si>
  <si>
    <t>4627078932598</t>
  </si>
  <si>
    <t>Маркер-выделитель ErichKrause V-12 голубой арт.32500</t>
  </si>
  <si>
    <t>4041485325000</t>
  </si>
  <si>
    <t>Маркер-выделитель ErichKrause V-12 желтый арт.32496</t>
  </si>
  <si>
    <t>4041485324966</t>
  </si>
  <si>
    <t>Маркер-выделитель ErichKrause V-12 зеленый арт.32497</t>
  </si>
  <si>
    <t>4041485324973</t>
  </si>
  <si>
    <t>Маркер-выделитель ErichKrause V-12 оранжевый арт.32499</t>
  </si>
  <si>
    <t>4041485324997</t>
  </si>
  <si>
    <t>Маркер-выделитель ErichKrause V-12 розовый арт.32498</t>
  </si>
  <si>
    <t>4041485324980</t>
  </si>
  <si>
    <t>Маркер-выделитель ErichKrause V-12 фиолетовый арт.32501</t>
  </si>
  <si>
    <t>4041485325017</t>
  </si>
  <si>
    <t>Маркер-выделитель FAX (1-4,6мм) голубой арт.8852 0067</t>
  </si>
  <si>
    <t>8595013602355</t>
  </si>
  <si>
    <t>Маркер-выделитель FAX (1-4,6мм) желтый арт.8852 0051</t>
  </si>
  <si>
    <t>8595013602294</t>
  </si>
  <si>
    <t>Маркер-выделитель FAX (1-4,6мм) зеленый арт.8852 0059</t>
  </si>
  <si>
    <t>8595013602348</t>
  </si>
  <si>
    <t>Маркер-выделитель FAX (1-4,6мм) красный арт.8852 0054</t>
  </si>
  <si>
    <t>8595013602324</t>
  </si>
  <si>
    <t>Маркер-выделитель FAX (1-4,6мм) оранжевый арт.8852 0052</t>
  </si>
  <si>
    <t>8595013602300</t>
  </si>
  <si>
    <t>Маркер-выделитель FAX (1-4,6мм) розовый арт.8852 0053</t>
  </si>
  <si>
    <t>8595013602317</t>
  </si>
  <si>
    <t>Маркер-выделитель FAX (1-4,6мм) фиолетовый арт.8852 0055</t>
  </si>
  <si>
    <t>8595013602331</t>
  </si>
  <si>
    <t>Маркер-выделитель HIGHLIGHTER Shine (1-4.0мм) с клипом зеленый арт.8732 0159</t>
  </si>
  <si>
    <t>8595013632802</t>
  </si>
  <si>
    <t>Маркер-выделитель deVENTE (1-5 мм), плоский корпус, скошенный наконечник, розовый арт.5045807</t>
  </si>
  <si>
    <t>4627149622595</t>
  </si>
  <si>
    <t>Маркер-краска deVENTE БЕЛЫЙ 2 мм, пулевидный наконечник,  круглый алюминиевый корпус, нитро-основа арт.5043400</t>
  </si>
  <si>
    <t>4627093354016</t>
  </si>
  <si>
    <t>Маркер-краска deVENTE ЗЕЛЕНЫЙ 2 мм, пулевидный наконечник,  круглый алюминиевый корпус, нитро-основа арт.5043413</t>
  </si>
  <si>
    <t>4627109706525</t>
  </si>
  <si>
    <t>Маркер-краска deVENTE ЧЕРНЫЙ 2 мм, пулевидный наконечник,  круглый алюминиевый корпус, нитро-основа арт.5043401</t>
  </si>
  <si>
    <t>4627093354030</t>
  </si>
  <si>
    <t>Маркер-перманент  белый 1,2мм светостойкий арт.2686 0100</t>
  </si>
  <si>
    <t>8595013634066</t>
  </si>
  <si>
    <t>Маркер-перманент  белый 2,5мм светостойкий арт.8586 0100</t>
  </si>
  <si>
    <t>8595013631119</t>
  </si>
  <si>
    <t>Маркер-перманент "8004 OfficeSpace" 2 мм, круглый корпус, пулевидный наконечник, зеленый арт.PM_274</t>
  </si>
  <si>
    <t>4610008522747</t>
  </si>
  <si>
    <t>Маркер-перманент "8004 OfficeSpace" 2 мм, круглый корпус, пулевидный наконечник, синий арт.PM_270</t>
  </si>
  <si>
    <t>4610008522709</t>
  </si>
  <si>
    <t>Маркер-перманент "8004 OfficeSpace" 2 мм, круглый корпус, пулевидный наконечник, черный арт.PM_268</t>
  </si>
  <si>
    <t>4610008522686</t>
  </si>
  <si>
    <t>8595013624777</t>
  </si>
  <si>
    <t>8595013624784</t>
  </si>
  <si>
    <t>8595013624807</t>
  </si>
  <si>
    <t>Маркер-перманент 0,6мм /F зеленый арт.2636 0110</t>
  </si>
  <si>
    <t>8595013611418</t>
  </si>
  <si>
    <t>Маркер-перманент 0,6мм /F красный арт.2636 0104</t>
  </si>
  <si>
    <t>8595013611395</t>
  </si>
  <si>
    <t>Маркер-перманент 0,6мм /F синий арт.2636 0106</t>
  </si>
  <si>
    <t>8595013611401</t>
  </si>
  <si>
    <t>Маркер-перманент 0,6мм /F черный арт.2636 0112</t>
  </si>
  <si>
    <t>8595013611425</t>
  </si>
  <si>
    <t>Маркер-перманент deVENTE 4 мм, круглый корпус с каучуковыми вставками, пулевидный наконечник, зеленый арт.5043325</t>
  </si>
  <si>
    <t>4627078932338</t>
  </si>
  <si>
    <t>Маркер-перманент deVENTE 4 мм, круглый корпус с каучуковыми вставками, пулевидный наконечник, красный арт.5043326</t>
  </si>
  <si>
    <t>4627078930587</t>
  </si>
  <si>
    <t>Маркер-перманент deVENTE 4 мм, круглый корпус с каучуковыми вставками, пулевидный наконечник, синий арт.5043327</t>
  </si>
  <si>
    <t>4627078930600</t>
  </si>
  <si>
    <t>Маркер-перманент deVENTE 4 мм, круглый корпус с каучуковыми вставками, пулевидный наконечник, черный арт.5043328</t>
  </si>
  <si>
    <t>4627078930624</t>
  </si>
  <si>
    <t>Маркер-перманент клиновидный (1-4,6 мм) черный арт.8576 0112</t>
  </si>
  <si>
    <t>8595013615669</t>
  </si>
  <si>
    <t>Маркер-перманент черный "Markmaster" 1,5мм устойчив до 100С арт.8599 0112</t>
  </si>
  <si>
    <t>8595013621745</t>
  </si>
  <si>
    <t>Маркер-перманент шир. 1мм /M зеленый арт.2846 9410</t>
  </si>
  <si>
    <t>8595013612293</t>
  </si>
  <si>
    <t>Маркер-перманент шир. 1мм /M коричневый арт.2846 9411</t>
  </si>
  <si>
    <t>8595013619971</t>
  </si>
  <si>
    <t>Маркер-перманент шир. 1мм /M красный арт.2846 9404</t>
  </si>
  <si>
    <t>8595013612279</t>
  </si>
  <si>
    <t>Маркер-перманент шир. 1мм /M оранжевый арт.2846 9402</t>
  </si>
  <si>
    <t>8595013634639</t>
  </si>
  <si>
    <t>Маркер-перманент шир. 1мм /M синий арт.2846 9406</t>
  </si>
  <si>
    <t>8595013612286</t>
  </si>
  <si>
    <t>Маркер-перманент шир. 1мм /M фиолетовый арт.2846 9405</t>
  </si>
  <si>
    <t>8595013631478</t>
  </si>
  <si>
    <t>Маркер-перманент шир. 1мм /M черный арт.2846 9412</t>
  </si>
  <si>
    <t>8595013612309</t>
  </si>
  <si>
    <t>Маркер-перманент шир.1мм  зеленый (светостойкие чернила) арт.2536 0110</t>
  </si>
  <si>
    <t>8595013616314</t>
  </si>
  <si>
    <t>Маркер-перманент шир.1мм  красный (светостойкие чернила) арт.2536 0104</t>
  </si>
  <si>
    <t>8595013616062</t>
  </si>
  <si>
    <t>Маркер-перманент шир.1мм  синий (светостойкие чернила) арт.2536 0106</t>
  </si>
  <si>
    <t>8595013616307</t>
  </si>
  <si>
    <t>Маркер-перманент шир.1мм  черный (светостойкие чернила) арт.2536 0112</t>
  </si>
  <si>
    <t>8595013616284</t>
  </si>
  <si>
    <t>Маркер-перманент шир.2,5мм зеленый арт.8566 0110</t>
  </si>
  <si>
    <t>8595013615515</t>
  </si>
  <si>
    <t>Маркер-перманент шир.2,5мм коричневый арт.8566 0111</t>
  </si>
  <si>
    <t>8595013634677</t>
  </si>
  <si>
    <t>Маркер-перманент шир.2,5мм красный арт.8566 0104</t>
  </si>
  <si>
    <t>8595013615492</t>
  </si>
  <si>
    <t>Маркер-перманент шир.2,5мм оранжевый арт.8566 0102</t>
  </si>
  <si>
    <t>8595013634653</t>
  </si>
  <si>
    <t>Маркер-перманент шир.2,5мм синий арт.8566 0106</t>
  </si>
  <si>
    <t>8595013615508</t>
  </si>
  <si>
    <t>Маркер-перманент шир.2,5мм фиолетовый арт.8566 0105</t>
  </si>
  <si>
    <t>8595013634660</t>
  </si>
  <si>
    <t>Маркер-перманент шир.2,5мм черный арт.8566 0112</t>
  </si>
  <si>
    <t>8595013615522</t>
  </si>
  <si>
    <t>Маркер-перманент ширина 2,5мм черный (устойчивые к высыханию) арт.8510 0112</t>
  </si>
  <si>
    <t>8595013616659</t>
  </si>
  <si>
    <t>Маркеры набор 4шт. Calligraphy (1,4-2,5-3,5-4,8мм) в пласт.уп. с европодвесом арт.8772 0401</t>
  </si>
  <si>
    <t>8595013606124</t>
  </si>
  <si>
    <t>Маркеры набор 4шт. для белой доски шир.2,5 мм в карт.уп. с европодвес. арт.8559 0401</t>
  </si>
  <si>
    <t>8595013617267</t>
  </si>
  <si>
    <t>Маркеры-выделители OfficeSpace (1-4мм) набор 4шт. арт.HL4_9517</t>
  </si>
  <si>
    <t>4680211075170</t>
  </si>
  <si>
    <t>Маркеры-выделители набор 4цв. с флуор. чернилами шир. 1,8мм в пакетике с европодвес. арт.2532 0401</t>
  </si>
  <si>
    <t>8595013617663</t>
  </si>
  <si>
    <t>Маркеры-выделители набор 4шт. FAX (1-4,6мм), в блистерной упаковке арт.8852 0403</t>
  </si>
  <si>
    <t>8595013620809</t>
  </si>
  <si>
    <t>Q-connect</t>
  </si>
  <si>
    <t>Механизм для архивирования 50 шт. арт.60780003</t>
  </si>
  <si>
    <t>4002432426287</t>
  </si>
  <si>
    <t>Механизм для архивирования Q-connect из гибкого пластика, белый, 100 шт/уп. арт.KF14475/100</t>
  </si>
  <si>
    <t>5706002144753</t>
  </si>
  <si>
    <t>Моющая жидкость для полов и стен MR. PROPER 1 000мл "Горный ручей и прохлада" арт.81519421</t>
  </si>
  <si>
    <t>4084500644991</t>
  </si>
  <si>
    <t>Мыло жидкое YESЛИ Белый хлопок, 5л арт.YESЛИ_хлопок</t>
  </si>
  <si>
    <t>4811881004720</t>
  </si>
  <si>
    <t>Мыло туалетное твердое "Аромат цветов", 100г арт.Аромат цветов</t>
  </si>
  <si>
    <t>4620771970799</t>
  </si>
  <si>
    <t>Мышь беспроводная SmartBuy  ONE 358AG-K, черная арт.SBM-358AG-K</t>
  </si>
  <si>
    <t>4690626006027</t>
  </si>
  <si>
    <t>Набор настольный Attomex черный, 10 предм, вращающийся, в карт. коробке, арт. 4102314</t>
  </si>
  <si>
    <t>4627079492336</t>
  </si>
  <si>
    <t>Набор настольный Attomex черный, 13 предм, шестигранный, вращающийся, в карт. коробке, арт. 4102313</t>
  </si>
  <si>
    <t>4627079492329</t>
  </si>
  <si>
    <t>Набор настольный ErichKrause "ВЕНЕЦИЯ" 12 предм., черный арт.99</t>
  </si>
  <si>
    <t>4607048501962</t>
  </si>
  <si>
    <t>Набор настольный ErichKrause "ВИКТОРИЯ" 14 предм., черный арт.96</t>
  </si>
  <si>
    <t>4607048501931</t>
  </si>
  <si>
    <t>Набор настольный ErichKrause "ГАРМОНИЯ" 12 предм., черный арт.98</t>
  </si>
  <si>
    <t>4607048501955</t>
  </si>
  <si>
    <t>Набор настольный ErichKrause "ЛИДЕР" 13 предм., черный арт.97</t>
  </si>
  <si>
    <t>4607048501948</t>
  </si>
  <si>
    <t>Good Sunrise</t>
  </si>
  <si>
    <t>Набор настольный из дерева / натуральная кожа, 7 предм. с 2 ручками (цвет коричневый) арт.RN7W-1A</t>
  </si>
  <si>
    <t>4710423473294</t>
  </si>
  <si>
    <t>Набор настольный из дерева, 6 предм. с 2 ручками (цвет коричневое дерево / алюминиевые вставки) арт.RS6MU-A</t>
  </si>
  <si>
    <t>4710423473805</t>
  </si>
  <si>
    <t>Набор настольный из дерева, 8 предм. с 2 ручками (цвет красное дерево / акрил) арт.LG/RS8AC-1A</t>
  </si>
  <si>
    <t>4710423472600</t>
  </si>
  <si>
    <t>Rillprint</t>
  </si>
  <si>
    <t>Наклейки 105*37 бел. 16/100 Rillprint  арт.89117</t>
  </si>
  <si>
    <t>Наклейки 105*99 бел. 6/100 Rillprint  арт.89121</t>
  </si>
  <si>
    <t>8712794891215</t>
  </si>
  <si>
    <t>Наклейки 210*148  бел. 2/100 Rillprint  арт.89123</t>
  </si>
  <si>
    <t>Наклейки 210*297  бел. 1/100 Rillprint  арт.89124</t>
  </si>
  <si>
    <t>8712794891246</t>
  </si>
  <si>
    <t>Наклейки 210*297 А4, бел. 1/100 deVENTE, в картонной коробке, арт. 2060320</t>
  </si>
  <si>
    <t>4627093351206</t>
  </si>
  <si>
    <t>Наклейки 38*21,2 бел. 65/100 Rillprint  арт.89100</t>
  </si>
  <si>
    <t>8712794891000</t>
  </si>
  <si>
    <t>Наклейки 64,6х33,8  бел. 24/100 Rillprint арт.89134</t>
  </si>
  <si>
    <t>Накопитель архив. 75мм OfficeSpace, белый арт.158551</t>
  </si>
  <si>
    <t>4680211076450</t>
  </si>
  <si>
    <t>Накопитель архив. 75мм OfficeSpace, зеленый арт.225418</t>
  </si>
  <si>
    <t>4680211076481</t>
  </si>
  <si>
    <t>Накопитель архив. 75мм OfficeSpace, красный арт.225416</t>
  </si>
  <si>
    <t>4680211076467</t>
  </si>
  <si>
    <t>Накопитель архив. 75мм OfficeSpace, синий арт.225417</t>
  </si>
  <si>
    <t>4680211076474</t>
  </si>
  <si>
    <t>Наушники стерео внутриканальные SmartBuy COLOR TREND, провод 1.2м, синие (силик.мембрана) арт.SBE-3400</t>
  </si>
  <si>
    <t>4690626014800</t>
  </si>
  <si>
    <t>Нитки 210 ЛШ (штапельного лавсана) 1000м арт.968642</t>
  </si>
  <si>
    <t>4690697035919</t>
  </si>
  <si>
    <t>Нож канцелярский Attomex 09 мм пластик. направляющие, ручная блокировка лезвия, пласт. блистер, арт. 4090300</t>
  </si>
  <si>
    <t>4627077803196</t>
  </si>
  <si>
    <t>Нож канцелярский Attomex 18 мм пластик. направляющие, ручная блокировка лезвия, пласт. блистер, арт. 4090301</t>
  </si>
  <si>
    <t>4627077803219</t>
  </si>
  <si>
    <t>Нож канцелярский ErichKrause "ARROW" auto-lock (09мм) + 2 запасных стальных лезвия, дв. блистер арт.19153</t>
  </si>
  <si>
    <t>4041485191537</t>
  </si>
  <si>
    <t>Нож канцелярский ErichKrause "ARROW" auto-lock (18мм) + 2 запасных стальных лезвия, дв. блистер арт.19152</t>
  </si>
  <si>
    <t>4041485191520</t>
  </si>
  <si>
    <t>Нож канцелярский ErichKrause "STANDARD" push-lock (09мм), в пакетике арт.19146</t>
  </si>
  <si>
    <t>4041485191469</t>
  </si>
  <si>
    <t>Нож канцелярский ErichKrause "STANDARD" push-lock (18мм), в пакетике арт.19145</t>
  </si>
  <si>
    <t>4041485191452</t>
  </si>
  <si>
    <t>4041485307907</t>
  </si>
  <si>
    <t>4041485156024</t>
  </si>
  <si>
    <t>Ножницы ErichKrause "Dinamic" 18 см (для левшей), асимметричные кольца, ассорти, карт. блистер арт.21884</t>
  </si>
  <si>
    <t>4041485218845</t>
  </si>
  <si>
    <t>Ножницы ErichKrause "Dinamic" 18 см, асимметричные кольца, ассорти, карт. блистер арт.14869</t>
  </si>
  <si>
    <t>4041485148692</t>
  </si>
  <si>
    <t>Ножницы ErichKrause "Ferro" 18 см, карт. блистер арт.14852</t>
  </si>
  <si>
    <t>4041485148524</t>
  </si>
  <si>
    <t>Ножницы ErichKrause "Standard" 17 см (для левшей), черные, карт. блистер арт.30778</t>
  </si>
  <si>
    <t>4041485307785</t>
  </si>
  <si>
    <t>Ножницы ErichKrause "Standard" 17 см, черные, карт. блистер арт.14861</t>
  </si>
  <si>
    <t>4041485148616</t>
  </si>
  <si>
    <t>Ножницы ErichKrause "Standard" 19 см, черные, карт. блистер арт.21881</t>
  </si>
  <si>
    <t>4041485218814</t>
  </si>
  <si>
    <t>Ножницы ErichKrause "Standard+ Ergo" 17 см, ассорти, карт. блистер арт.44885</t>
  </si>
  <si>
    <t>4041485448853</t>
  </si>
  <si>
    <t>Ножницы ErichKrause "Standard+ Ergo" 19 см, ассорти, карт. блистер арт.44886</t>
  </si>
  <si>
    <t>4041485448860</t>
  </si>
  <si>
    <t>Ножницы ErichKrause "Standard+" 19 см, двуцветные кольца, карт. блистер арт.35100</t>
  </si>
  <si>
    <t>4041485351009</t>
  </si>
  <si>
    <t>Ножницы ErichKrause "Top Мodel" 19 см, черные, карт. блистер арт.50015</t>
  </si>
  <si>
    <t>4041485500155</t>
  </si>
  <si>
    <t>Ножницы ErichKrause "Top Мodel" 21 см, черные, карт. блистер арт.14856</t>
  </si>
  <si>
    <t>4041485148562</t>
  </si>
  <si>
    <t>Ножницы deVENTE Cosmo 13 см детские, пластиковые кольца, с защитным футляром арт.8010306</t>
  </si>
  <si>
    <t>4627079407996</t>
  </si>
  <si>
    <t>Ножницы декоративные для творчества LIGHTNING  "KOH-I-NOOR" арт.9978001013BL</t>
  </si>
  <si>
    <t>8593539133728</t>
  </si>
  <si>
    <t>Ножницы декоративные для творчества ZIPPER  "KOH-I-NOOR" арт.9978001011BL</t>
  </si>
  <si>
    <t>8593539133704</t>
  </si>
  <si>
    <t>Обложка (перф.) картон под кожу белая А4 230г/м OfficeSpace (100л/уп) арт.BC7052</t>
  </si>
  <si>
    <t>4680211050528</t>
  </si>
  <si>
    <t>Обложка (перф.) картон под кожу черная А4 230г/м OfficeSpace (100л/уп) арт.BC7060</t>
  </si>
  <si>
    <t>4680211050603</t>
  </si>
  <si>
    <t>Обложка (перф.) пласт. прозрачная зеленая 150мкм (100л/уп ) OfficeSpace "PVC" арт.BC9009</t>
  </si>
  <si>
    <t>4680211070090</t>
  </si>
  <si>
    <t>4607031180839</t>
  </si>
  <si>
    <t>4607031189825</t>
  </si>
  <si>
    <t>4607031185896</t>
  </si>
  <si>
    <t>4607031189832</t>
  </si>
  <si>
    <t>4607031185919</t>
  </si>
  <si>
    <t>Органайзер ErichKrause "MINI DESK" б/наполнения, черный арт.19792</t>
  </si>
  <si>
    <t>4607048505236</t>
  </si>
  <si>
    <t>Органайзер ErichKrause "ВИКТОРИЯ" б/наполнения, черный арт.19794</t>
  </si>
  <si>
    <t>4607048505274</t>
  </si>
  <si>
    <t>Органайзер ErichKrause "ЛИДЕР" б/наполнения, черный арт.21746</t>
  </si>
  <si>
    <t>4607048506318</t>
  </si>
  <si>
    <t>Органайзер ErichKrause "ОФИСНЫЙ" б/наполнения, черный арт.19793</t>
  </si>
  <si>
    <t>4607048505250</t>
  </si>
  <si>
    <t>Органайзер АВАНГАРД черный эконом  арт. ОР52</t>
  </si>
  <si>
    <t>4670004011454</t>
  </si>
  <si>
    <t>Органайзер ИМИДЖ черный  арт. ОР31</t>
  </si>
  <si>
    <t>4620000631439</t>
  </si>
  <si>
    <t>Органайзер Эллипс Primavera ассорти арт. ОР137</t>
  </si>
  <si>
    <t>4670004014318</t>
  </si>
  <si>
    <t>Органайзер кубик-трансформер для канцелярских принадлежностей (с наполнением) арт.RXQ-868</t>
  </si>
  <si>
    <t>4815694000078</t>
  </si>
  <si>
    <t>Органайзер с наполнением "КАШАЛОТИК" (пласт.ножницы, линейка с лекалами, цв.скрепки, ластик), голубой цв., арт.КН202</t>
  </si>
  <si>
    <t>4650066305340</t>
  </si>
  <si>
    <t>Пакет мусорный 120л (10шт) OfficeClean ПВД, 68*105см, 55мкм, суперпрочный, черный, в рулоне арт.243968/И</t>
  </si>
  <si>
    <t>4680211124663</t>
  </si>
  <si>
    <t>Пакет мусорный 120л (10шт) OfficeClean ПНД, 67*102см, 11мкм, черный, в рулоне арт.228598/А</t>
  </si>
  <si>
    <t>4680211075590</t>
  </si>
  <si>
    <t>Пакет мусорный 30л (30шт) OfficeClean ПНД, 48*55см, 6мкм, черный, в рулоне арт.228589/А</t>
  </si>
  <si>
    <t>4680211075606</t>
  </si>
  <si>
    <t>Пакет мусорный 35л (30шт) OfficeClean ПНД, 48*52см, 13мкм, синие, в рулоне, с завязками арт.243960/И</t>
  </si>
  <si>
    <t>4680211124632</t>
  </si>
  <si>
    <t>Пакет мусорный 35л (50шт) OfficeClean ПНД, 48*55см, 6мкм, черный, в рулоне арт.243959/А</t>
  </si>
  <si>
    <t>4680211124595</t>
  </si>
  <si>
    <t>Пакет мусорный 60л (20 шт) OfficeClean ПНД, 58*65см, 14 мкм, синие, в рулоне, с завязками арт.243969/И</t>
  </si>
  <si>
    <t>4680211124687</t>
  </si>
  <si>
    <t>Пакет мусорный 60л (20 шт) OfficeClean ПНД, 58*65см, 6 мкм, черные, в рулоне арт.228595/А</t>
  </si>
  <si>
    <t>4680211075613</t>
  </si>
  <si>
    <t>"Канцфайл"</t>
  </si>
  <si>
    <t>Папка  А4 с   100 вкл. синяя арт.09М-100K</t>
  </si>
  <si>
    <t>4612749553103</t>
  </si>
  <si>
    <t>Папка  А4 с   100 вкл. черная арт.09М-100K</t>
  </si>
  <si>
    <t>4612749553110</t>
  </si>
  <si>
    <t>Папка  А4 с 10 вкл. Attomex, 500 мкм, вкладыши 30 мкм, "песок", черная, арт. 3100404</t>
  </si>
  <si>
    <t>4627090482323</t>
  </si>
  <si>
    <t>Папка  А4 с 10 вкл. ПЛОТНАЯ "песок" синяя арт.051-10K</t>
  </si>
  <si>
    <t>4620000203148</t>
  </si>
  <si>
    <t>Папка  А4 с 10 вкл. ПЛОТНАЯ "песок" черная арт.051-10K</t>
  </si>
  <si>
    <t>4620000200871</t>
  </si>
  <si>
    <t>Папка  А4 с 10 вкл. ПЛОТНАЯ красная арт.05М-10K</t>
  </si>
  <si>
    <t>4620000202332</t>
  </si>
  <si>
    <t>Папка  А4 с 20 вкл. Attomex, 500 мкм, вкладыши 30 мкм, "песок", синяя, арт. 3101402</t>
  </si>
  <si>
    <t>4627090482378</t>
  </si>
  <si>
    <t>Папка  А4 с 20 вкл. Attomex, 500 мкм, вкладыши 30 мкм, "песок", черная, арт. 3101404</t>
  </si>
  <si>
    <t>4627090482385</t>
  </si>
  <si>
    <t>Папка  А4 с 20 вкл. ПЛОТНАЯ "песок" синяя арт.071-20K</t>
  </si>
  <si>
    <t>4620000203179</t>
  </si>
  <si>
    <t>Папка  А4 с 20 вкл. ПЛОТНАЯ "песок" черная арт.071-20K</t>
  </si>
  <si>
    <t>4620000200888</t>
  </si>
  <si>
    <t>Папка  А4 с 20 вкл. ПЛОТНАЯ зеленая арт.05М-20K</t>
  </si>
  <si>
    <t>4620000202387</t>
  </si>
  <si>
    <t>Папка  А4 с 20 вкл. ПЛОТНАЯ красная арт.05М-20K</t>
  </si>
  <si>
    <t>4620000202370</t>
  </si>
  <si>
    <t>Папка  А4 с 30 вкл. Attomex, 500 мкм, вкладыши 30 мкм, "песок", зеленая, арт. 3102401</t>
  </si>
  <si>
    <t>4627090482392</t>
  </si>
  <si>
    <t>Папка  А4 с 30 вкл. Attomex, 500 мкм, вкладыши 30 мкм, "песок", синяя, арт. 3102402</t>
  </si>
  <si>
    <t>4627090482422</t>
  </si>
  <si>
    <t>Папка  А4 с 30 вкл. Attomex, 500 мкм, вкладыши 30 мкм, "песок", черная, арт. 3102404</t>
  </si>
  <si>
    <t>4627090482439</t>
  </si>
  <si>
    <t>Папка  А4 с 30 вкл. ПЛОТНАЯ "песок" синяя арт.071-30K</t>
  </si>
  <si>
    <t>4620000203209</t>
  </si>
  <si>
    <t>Папка  А4 с 30 вкл. ПЛОТНАЯ "песок" черная арт.071-30K</t>
  </si>
  <si>
    <t>4620000200895</t>
  </si>
  <si>
    <t>Папка  А4 с 30вкл. ПЛОТНАЯ зеленая 0.7 мм арт.07М-30K</t>
  </si>
  <si>
    <t>Папка  А4 с 30вкл. ПЛОТНАЯ красная 0.7 мм арт.07М-30K</t>
  </si>
  <si>
    <t>Папка  А4 с 40 вкл. Attomex, 600 мкм, вкладыши 30 мкм, "песок", синяя, арт. 3103402</t>
  </si>
  <si>
    <t>4627090482477</t>
  </si>
  <si>
    <t>Папка  А4 с 40 вкл. Attomex, 600 мкм, вкладыши 30 мкм, "песок", черная, арт. 3103404</t>
  </si>
  <si>
    <t>4627090482484</t>
  </si>
  <si>
    <t>Папка  А4 с 40вкл. ПЛОТНАЯ "песок" синяя 0.7 мм арт.071-40K</t>
  </si>
  <si>
    <t>4620000203247</t>
  </si>
  <si>
    <t>Папка  А4 с 40вкл. ПЛОТНАЯ "песок" черная 0.7 мм арт.071-40K</t>
  </si>
  <si>
    <t>4620000200901</t>
  </si>
  <si>
    <t>Папка  А4 с 40вкл. ПЛОТНАЯ зеленая 0.7 мм арт.07М-40K</t>
  </si>
  <si>
    <t>Папка  А4 с 40вкл. ПЛОТНАЯ красная 0.7 мм арт.07М-40K</t>
  </si>
  <si>
    <t>4620000202455</t>
  </si>
  <si>
    <t>Папка  А4 с 60вкл. ПЛОТНАЯ "песок" синяя 0.7 мм арт.071-60K</t>
  </si>
  <si>
    <t>Папка  А4 с 60вкл. ПЛОТНАЯ "песок" черная 0.7 мм арт.071-60K</t>
  </si>
  <si>
    <t>4620000200918</t>
  </si>
  <si>
    <t>Папка  А4 с 60вкл. ПЛОТНАЯ зеленая 0.7 мм арт.07М-60K</t>
  </si>
  <si>
    <t>4620000202509</t>
  </si>
  <si>
    <t>Папка  А4 с 60вкл. ПЛОТНАЯ красная 0.7 мм арт.07М-60K</t>
  </si>
  <si>
    <t>4620000202493</t>
  </si>
  <si>
    <t>Папка  А4 с 80 вкл. синяя  арт.09М-80K</t>
  </si>
  <si>
    <t>4612749553080</t>
  </si>
  <si>
    <t>Папка  А4 с 80 вкл. черная  арт.09М-80K</t>
  </si>
  <si>
    <t>4612749553097</t>
  </si>
  <si>
    <t>Папка "Меню" с 10 вварными файлами бордовая 220*320*15 мм арт.2137.М-103</t>
  </si>
  <si>
    <t>4607031183755</t>
  </si>
  <si>
    <t>Папка "Счет" синяя 125*190*10 мм арт.2127.С-101</t>
  </si>
  <si>
    <t>4607031183878</t>
  </si>
  <si>
    <t>Папка "Счет" черная 125*190*10 мм арт.2127.С-107</t>
  </si>
  <si>
    <t>4607031181478</t>
  </si>
  <si>
    <t>Папка А4 на 2 кольцах 16 мм Attomex пластик. 500 мкм, "песок", черный арт. 3081404</t>
  </si>
  <si>
    <t>4627090484303</t>
  </si>
  <si>
    <t>Папка А4 на 2 кольцах 25мм. "песок" пластик. синяя арт.071Q-2K</t>
  </si>
  <si>
    <t>4620000203353</t>
  </si>
  <si>
    <t>Папка А4 на 2 кольцах 25мм. "песок" пластик. черная арт.071Q-2K</t>
  </si>
  <si>
    <t>4620000200949</t>
  </si>
  <si>
    <t>Папка А4 на 2 кольцах 25мм. ПЛОТНАЯ пластик. зеленая арт.07Q-2K</t>
  </si>
  <si>
    <t>4620000202189</t>
  </si>
  <si>
    <t>Папка А4 на 2 кольцах 25мм. ПЛОТНАЯ пластик. красная арт.07Q-2K</t>
  </si>
  <si>
    <t>4620000202172</t>
  </si>
  <si>
    <t>Папка А4 на 2 кольцах 35мм ПЛОТНАЯ пластик. зеленая арт.10Q-2K</t>
  </si>
  <si>
    <t>4620000202226</t>
  </si>
  <si>
    <t>Папка А4 на 2 кольцах 35мм ПЛОТНАЯ пластик. красная арт.10Q-2K</t>
  </si>
  <si>
    <t>4620000202219</t>
  </si>
  <si>
    <t>Папка А4 на 4 кольцах 25мм "песок" пластик. синяя арт.071Q-4K</t>
  </si>
  <si>
    <t>4620000203384</t>
  </si>
  <si>
    <t>Папка А4 на 4 кольцах 26мм ПЛОТНАЯ пластик. зеленая арт.07Q-4K</t>
  </si>
  <si>
    <t>Папка А4 на 4 кольцах 35мм "песок" пластик. синяя арт.101Q-4K</t>
  </si>
  <si>
    <t>Папка А4 на 4 кольцах 35мм "песок" пластик. черная арт.101Q-4K</t>
  </si>
  <si>
    <t>4620000200970</t>
  </si>
  <si>
    <t>Папка А4 на 4 кольцах 35мм ПЛОТНАЯ пластик. зеленая арт.10Q-4K</t>
  </si>
  <si>
    <t>4620000202301</t>
  </si>
  <si>
    <t>Папка А4 на 4 кольцах 35мм ПЛОТНАЯ пластик. красная арт.10Q-4K</t>
  </si>
  <si>
    <t>4620000202295</t>
  </si>
  <si>
    <t>Папка А4 на резинках ErichKrause GLANCE NEON арт.47197</t>
  </si>
  <si>
    <t>4630040833014</t>
  </si>
  <si>
    <t>Папка А4 на резинках ErichKrause GLANCE VIVID арт.47195</t>
  </si>
  <si>
    <t>4630040832970</t>
  </si>
  <si>
    <t>Папка А4 на резинках пластик. "эконом" 0,45мм, красная арт. 045-PR-E</t>
  </si>
  <si>
    <t>4612749554209</t>
  </si>
  <si>
    <t>Папка А4 на резинках пластик. "эконом" 0,45мм, синяя арт. 045-PR-E</t>
  </si>
  <si>
    <t>4612749554216</t>
  </si>
  <si>
    <t>Папка А4 на резинках пластик. "эконом" 0,45мм, черная арт. 045-PR-E</t>
  </si>
  <si>
    <t>4612749553554</t>
  </si>
  <si>
    <t>Папка А4 на резинках пластик. 0,5 мм желтая арт.055PR-5</t>
  </si>
  <si>
    <t>4620000200406</t>
  </si>
  <si>
    <t>Папка А4 на резинках пластик. 0,5 мм зеленая арт.055PR-4</t>
  </si>
  <si>
    <t>4620000200390</t>
  </si>
  <si>
    <t>Папка А4 на резинках пластик. 0,5 мм красная арт.055PR-3</t>
  </si>
  <si>
    <t>4620000200383</t>
  </si>
  <si>
    <t>Папка А4 на резинках пластик. 0,5 мм синяя арт.055PR-2</t>
  </si>
  <si>
    <t>4620000200376</t>
  </si>
  <si>
    <t>Папка А4 на резинках пластик. 0,5 мм черная арт.055PR-1</t>
  </si>
  <si>
    <t>4620000200369</t>
  </si>
  <si>
    <t>Папка А5 на 4 кольцах 35мм "песок" пластик. синяя арт.071Q-5Р4К</t>
  </si>
  <si>
    <t>4612749552496</t>
  </si>
  <si>
    <t>Папка А5 на 4 кольцах 35мм "песок" пластик. черная арт.071Q-5Р4К</t>
  </si>
  <si>
    <t>4612749552486</t>
  </si>
  <si>
    <t>Папка А5+ на резинках ErichKrause GLANCE NEON арт.47198</t>
  </si>
  <si>
    <t>4630040833038</t>
  </si>
  <si>
    <t>Папка А5+ на резинках ErichKrause GLANCE VIVID арт.47196</t>
  </si>
  <si>
    <t>4630040832994</t>
  </si>
  <si>
    <t>Папка адресная "На подпись", ПВХ, черная 220*320 мм арт.2032.Н-107</t>
  </si>
  <si>
    <t>4607031181454</t>
  </si>
  <si>
    <t>Папка адресная "На подпись", кожзам, черная 220*320 мм арт.2032.НИ-207</t>
  </si>
  <si>
    <t>4607031186190</t>
  </si>
  <si>
    <t>Папка адресная бумвинил А4 "50 лет" 220*310мм, бордовая арт.APbv_385(160230)</t>
  </si>
  <si>
    <t>Папка адресная бумвинил А4 "55 лет" 220*310мм, бордовая арт.APbv_386 (160231)</t>
  </si>
  <si>
    <t>4680211053109</t>
  </si>
  <si>
    <t>Папка адресная бумвинил А4 "60 лет" 220*310мм, бордовая арт.APbv_402 (160232)</t>
  </si>
  <si>
    <t>4680211053116</t>
  </si>
  <si>
    <t>Папка адресная бумвинил А4 "Виньетка" 220*310мм, бордовая арт.APbv_390 (160237)</t>
  </si>
  <si>
    <t>4680211053123</t>
  </si>
  <si>
    <t>Папка адресная бумвинил А4 "Поздравляем!" 220*310мм, бордовая арт.APbv_389 (160236) 181774</t>
  </si>
  <si>
    <t>4680211053147</t>
  </si>
  <si>
    <t>Папка адресная бумвинил А4 "С юбилеем" 220*310мм, бордовая арт.APbv_392 (160239)</t>
  </si>
  <si>
    <t>4680211053161</t>
  </si>
  <si>
    <t>Папка адресная бумвинил А4 "Юбиляру" 220*310мм, бордовая арт.APbv_398 (160246)</t>
  </si>
  <si>
    <t>4680211053185</t>
  </si>
  <si>
    <t>Папка д/документов "Astra" имп. кожзам, на молнии, кольц. зажим, шир корешок, 12 карманов, ручка арт.ПаКЗ_583</t>
  </si>
  <si>
    <t>4610008525830</t>
  </si>
  <si>
    <t>Папка д/документов "Dublin" кожзам, на молнии, 5 карманов, ручка-трансформер арт.ПА_КЗ_671</t>
  </si>
  <si>
    <t>4610008526714</t>
  </si>
  <si>
    <t>Папка д/документов "Granada" кожзам, на молнии, 5 карманов арт.ПА_КЗ_669</t>
  </si>
  <si>
    <t>4610008526691</t>
  </si>
  <si>
    <t>Папка д/документов "Hannover" кожзам, на молнии, ручка-петля, зажим для бумаг арт.ПА_КЗ_670</t>
  </si>
  <si>
    <t>4610008526707</t>
  </si>
  <si>
    <t>Папка д/документов "Siera" кожзам, на молнии, 5 карманов, блокнот А4 арт.ПА_КЗ_577</t>
  </si>
  <si>
    <t>4610008525779</t>
  </si>
  <si>
    <t>Папка д/документов "Varna" кожзам, на молнии, 1 карман, зажим для бумаг арт.ПА_КЗ_666</t>
  </si>
  <si>
    <t>4610008526660</t>
  </si>
  <si>
    <t>Папка д/документов Attomex "Optima" искусственная кожа, с кольцами, на молнии, черная арт.1040508</t>
  </si>
  <si>
    <t>4627109705894</t>
  </si>
  <si>
    <t>Папка д/документов Attomex "Tango" иск. кожа, мет. прижим для бумаг, на молнии, ручка-трансформер, черная арт.1040509</t>
  </si>
  <si>
    <t>4627109705870</t>
  </si>
  <si>
    <t>Папка д/документов Attomex "Vega" искусственная кожа, мет. прижим для бумаг, ручка-петля, на молнии, черная арт.1040506</t>
  </si>
  <si>
    <t>4627109705863</t>
  </si>
  <si>
    <t>Папка д/документов Attomex "Vista" искусственная кожа, отделение для бумаг, на молнии, черная арт.1040507</t>
  </si>
  <si>
    <t>4627109705887</t>
  </si>
  <si>
    <t>Папка д/документов deVENTE "Newcastle" иск. кожа, 4 кармана, на молнии, черная арт.1040501</t>
  </si>
  <si>
    <t>4627109705825</t>
  </si>
  <si>
    <t>Папка д/документов deVENTE "York" иск. кожа, 2 кармана, отделения под визитки и ручкм, на молнии, черная арт.1040503</t>
  </si>
  <si>
    <t>4627109705856</t>
  </si>
  <si>
    <t>Папка для бумаг А4 ДЕЛО 0,6мм, 420 г/м2 с завязками, корешок 3 см, серая  арт.ПБ06</t>
  </si>
  <si>
    <t>4810256023069</t>
  </si>
  <si>
    <t>Папка для бумаг А4 ДЕЛО 0,7мм, 530 г/м2 с завязками  арт.ПБ07</t>
  </si>
  <si>
    <t>4810256023014</t>
  </si>
  <si>
    <t>Папка для бумаг А4 ДЕЛО 70мм с 2-мя завязками картонная (архивная) арт.КТ 0,7</t>
  </si>
  <si>
    <t>Папка на молнии А4 deVENTE (220х330 мм), полипропилен 150 мкм, с карманом для визитной карточки арт. 3072500</t>
  </si>
  <si>
    <t>4627102054302</t>
  </si>
  <si>
    <t>Папка на молнии А5+ deVENTE (190х250 мм), полипропилен 150 мкм, с карманом для визитной карточки арт. 3072501</t>
  </si>
  <si>
    <t>4627102054326</t>
  </si>
  <si>
    <t>Папка на молнии В6 13*25см арт.ПМ 06</t>
  </si>
  <si>
    <t>Папка с боковым заж. А4 Attomex "песок" 500 мкм, синяя арт. 3110402</t>
  </si>
  <si>
    <t>4627090482521</t>
  </si>
  <si>
    <t>Папка с боковым заж. А4 Attomex "песок" 500 мкм, черная арт. 3110404</t>
  </si>
  <si>
    <t>4627090482538</t>
  </si>
  <si>
    <t>Папка с боковым зажимом А4 "песок" 0,7 мм синяя арт.071Z</t>
  </si>
  <si>
    <t>4620000203292</t>
  </si>
  <si>
    <t>Папка с боковым зажимом А4 "песок" 0,7 мм черная арт.071Z</t>
  </si>
  <si>
    <t>4620000200925</t>
  </si>
  <si>
    <t>Папка с боковым зажимом А4 0,7 мм  зеленая арт.07Z-KL</t>
  </si>
  <si>
    <t>4612749554247</t>
  </si>
  <si>
    <t>Папка с боковым зажимом А4 0,7 мм  красная арт.07Z-KL</t>
  </si>
  <si>
    <t>4620000202073</t>
  </si>
  <si>
    <t>Папка с пруж.скоросшивателем пластик. А4 Attomex 500 мкм, "песок", синяя, арт. 3111402</t>
  </si>
  <si>
    <t>4627090482576</t>
  </si>
  <si>
    <t>Папка с пруж.скоросшивателем пластик. А4 Attomex 500 мкм, "песок", черная, арт. 3111404</t>
  </si>
  <si>
    <t>4627090482583</t>
  </si>
  <si>
    <t>Папка с пруж.скоросшивателем пластик. А4 с внутренним карманом "песок" 0,7мм синяя арт.071S</t>
  </si>
  <si>
    <t>Папка с пруж.скоросшивателем пластик. А4 с внутренним карманом "песок" 0,7мм черная арт.071S</t>
  </si>
  <si>
    <t>Папка с пруж.скоросшивателем пластик. А4 с внутренним карманом 0,7мм  зеленая арт.07S-К</t>
  </si>
  <si>
    <t>4620000202530</t>
  </si>
  <si>
    <t>Папка с пруж.скоросшивателем пластик. А4 с внутренним карманом 0,7мм  красная арт.07S-К</t>
  </si>
  <si>
    <t>4620000200062</t>
  </si>
  <si>
    <t>4620000205135</t>
  </si>
  <si>
    <t>4607031185537</t>
  </si>
  <si>
    <t>4620000204619</t>
  </si>
  <si>
    <t>4607165260223</t>
  </si>
  <si>
    <t>4627093352098</t>
  </si>
  <si>
    <t>4627093351893</t>
  </si>
  <si>
    <t>4620000200550</t>
  </si>
  <si>
    <t>4620000200543</t>
  </si>
  <si>
    <t>4620000200024</t>
  </si>
  <si>
    <t>Папка-конверт А3 с кнопкой зеленый КНК-180, арт. 224033</t>
  </si>
  <si>
    <t>4606224085906</t>
  </si>
  <si>
    <t>Папка-конверт А3 с кнопкой синий КНК-180, арт. 224034</t>
  </si>
  <si>
    <t>4606224085913</t>
  </si>
  <si>
    <t>Папка-конверт А4 "эконом"  с кнопкой  КНК-150 б/цв арт.КНК-150-ПП</t>
  </si>
  <si>
    <t>14612749551734</t>
  </si>
  <si>
    <t>Папка-конверт А4 "эконом"  с кнопкой  КНК-150 зеленая арт.КНК-150-ПП</t>
  </si>
  <si>
    <t>4612749551703</t>
  </si>
  <si>
    <t>Папка-конверт А4 "эконом"  с кнопкой  КНК-150 оранжевая арт.КНК-150-ПП</t>
  </si>
  <si>
    <t>Папка-конверт А4 "эконом"  с кнопкой  КНК-150 синяя арт.КНК-150-ПП</t>
  </si>
  <si>
    <t>4612749551727</t>
  </si>
  <si>
    <t>Папка-конверт А4 "эконом"  с кнопкой  КНК-150 фиолетовая арт.КНК-150-ПП</t>
  </si>
  <si>
    <t>4612749551710</t>
  </si>
  <si>
    <t>Папка-конверт А4 с кнопкой б/цветный КНК-180 арт.257</t>
  </si>
  <si>
    <t>4620000203759</t>
  </si>
  <si>
    <t>Папка-конверт А4 с кнопкой желтый КНК-180 арт.262</t>
  </si>
  <si>
    <t>4620000200109</t>
  </si>
  <si>
    <t>Папка-конверт А4 с кнопкой зеленый КНК-180 арт.263</t>
  </si>
  <si>
    <t>4620000203780</t>
  </si>
  <si>
    <t>Папка-конверт А4 с кнопкой красный  КНК-180 арт.264</t>
  </si>
  <si>
    <t>4620000203773</t>
  </si>
  <si>
    <t>Папка-конверт А4 с кнопкой синий КНК-180 арт.265</t>
  </si>
  <si>
    <t>4620000203766</t>
  </si>
  <si>
    <t>Папка-конверт В5 на кнопке 240*190 б/цветный арт.В5-б</t>
  </si>
  <si>
    <t>4612749556920</t>
  </si>
  <si>
    <t>Папка-конверт В5 на кнопке 240*190 желтый арт.В5-ж</t>
  </si>
  <si>
    <t>4612749556913</t>
  </si>
  <si>
    <t>Папка-конверт В5 на кнопке 240*190 зеленый арт.В5-з</t>
  </si>
  <si>
    <t>4612749556890</t>
  </si>
  <si>
    <t>Папка-конверт В5 на кнопке 240*190 красный арт.В5-к</t>
  </si>
  <si>
    <t>4612749556944</t>
  </si>
  <si>
    <t>Папка-конверт В5 на кнопке 240*190 синий арт.В5-с</t>
  </si>
  <si>
    <t>4612749556937</t>
  </si>
  <si>
    <t>Папка-конверт В6 на кнопке 250*135 б/цветный арт. В6-б</t>
  </si>
  <si>
    <t>4620000200185</t>
  </si>
  <si>
    <t>Папка-конверт В6 на кнопке 250*135 желтый арт.В6-ж</t>
  </si>
  <si>
    <t>4612749557026</t>
  </si>
  <si>
    <t>Папка-конверт В6 на кнопке 250*135 зеленый арт.В6-з</t>
  </si>
  <si>
    <t>4612749557002</t>
  </si>
  <si>
    <t>Папка-конверт В6 на кнопке 250*135 красный арт. В6-к</t>
  </si>
  <si>
    <t>4612749557057</t>
  </si>
  <si>
    <t>Папка-конверт В6 на кнопке 250*135 синий арт. В6-с</t>
  </si>
  <si>
    <t>4620000202011</t>
  </si>
  <si>
    <t>Папка-обложка  А4 ДЕЛО 0,6мм, 420 г/м2, серая арт.ПО06</t>
  </si>
  <si>
    <t>4810256023090</t>
  </si>
  <si>
    <t>Папка-обложка  А4 ДЕЛО 0,7мм, 530 г/м2 арт.ПО07</t>
  </si>
  <si>
    <t>4810256023007</t>
  </si>
  <si>
    <t>Папка-планшет А4 OfficeSpace с зажимом, черная арт.245659</t>
  </si>
  <si>
    <t>4680211133139</t>
  </si>
  <si>
    <t>Папка-планшет А4 с зажимом, ПВХ, внутри картон, черная арт.2118-107</t>
  </si>
  <si>
    <t>4607031188354</t>
  </si>
  <si>
    <t>Папка-планшет синяя арт.15PLAC синяя</t>
  </si>
  <si>
    <t>4620000204114</t>
  </si>
  <si>
    <t>Папка-планшет черная арт.15PLAC черн</t>
  </si>
  <si>
    <t>4620000204107</t>
  </si>
  <si>
    <t>Папка-скоросшиватель  А4 "эконом" с прозр.верхом ПС-220 бирюзовый арт.ПС-220 бирюз.</t>
  </si>
  <si>
    <t>4612749551376</t>
  </si>
  <si>
    <t>Папка-скоросшиватель  А4 "эконом" с прозр.верхом ПС-220 голубой арт.ПС-220 голуб.</t>
  </si>
  <si>
    <t>4612749551239</t>
  </si>
  <si>
    <t>Папка-скоросшиватель  А4 "эконом" с прозр.верхом ПС-220 желтый арт.ПС-220 жел.</t>
  </si>
  <si>
    <t>4612749550935</t>
  </si>
  <si>
    <t>Папка-скоросшиватель  А4 "эконом" с прозр.верхом ПС-220 зеленый арт.ПС-220 зел.</t>
  </si>
  <si>
    <t>4612749550928</t>
  </si>
  <si>
    <t>Папка-скоросшиватель  А4 "эконом" с прозр.верхом ПС-220 красный арт.ПС-220 красн.</t>
  </si>
  <si>
    <t>4612749551246</t>
  </si>
  <si>
    <t>Папка-скоросшиватель  А4 "эконом" с прозр.верхом ПС-220 оранжевый арт.ПС-220 оранж.</t>
  </si>
  <si>
    <t>4612749551369</t>
  </si>
  <si>
    <t>Папка-скоросшиватель  А4 "эконом" с прозр.верхом ПС-220 серый арт.ПС-220 сер.</t>
  </si>
  <si>
    <t>Папка-скоросшиватель  А4 "эконом" с прозр.верхом ПС-220 синий арт.ПС-220 син.</t>
  </si>
  <si>
    <t>4612749550911</t>
  </si>
  <si>
    <t>Папка-скоросшиватель  А4 "эконом" с прозр.верхом ПС-220 фиолетовый арт.ПС-220 фиол.</t>
  </si>
  <si>
    <t>4612749551352</t>
  </si>
  <si>
    <t>Папка-скоросшиватель А4 Berlingo с прозр.верхом с перф., бирюзовая арт.ASp_04220</t>
  </si>
  <si>
    <t>Папка-скоросшиватель А4 Berlingo с прозр.верхом с перф., желтая арт.ASp_04205</t>
  </si>
  <si>
    <t>4607165264726</t>
  </si>
  <si>
    <t>Папка-скоросшиватель А4 Berlingo с прозр.верхом с перф., зеленая арт.ASp_04204</t>
  </si>
  <si>
    <t>4607165264719</t>
  </si>
  <si>
    <t>Папка-скоросшиватель А4 Berlingo с прозр.верхом с перф., синяя арт.ASp_04202</t>
  </si>
  <si>
    <t>4607165264696</t>
  </si>
  <si>
    <t>Папка-скоросшиватель А4 Berlingo с прозр.верхом с перф., фиолетовая арт.ASp_04207</t>
  </si>
  <si>
    <t>4607165264733</t>
  </si>
  <si>
    <t>Папка-скоросшиватель А4 Berlingo с прозр.верхом с перф., черная арт.ASp_04201</t>
  </si>
  <si>
    <t>4607165264689</t>
  </si>
  <si>
    <t>Папка-скоросшиватель А4 ДЕЛО картон. 0,6мм, 420 г/м2, 3см корешок, серая арт.ПС06</t>
  </si>
  <si>
    <t>4810256023083</t>
  </si>
  <si>
    <t>Папка-скоросшиватель А4 ДЕЛО картон. 0,7мм, 530 г/м2 арт.ПС07</t>
  </si>
  <si>
    <t>4810256023021</t>
  </si>
  <si>
    <t>Папка-скоросшиватель А4 с прозр.верхом ПС-200 голубая арт.539</t>
  </si>
  <si>
    <t>4620000201922</t>
  </si>
  <si>
    <t>Папка-скоросшиватель А4 с прозр.верхом ПС-200 желтая арт.54267</t>
  </si>
  <si>
    <t>4620000200161</t>
  </si>
  <si>
    <t>Папка-скоросшиватель А4 с прозр.верхом ПС-200 зеленая арт.54266</t>
  </si>
  <si>
    <t>4620000201892</t>
  </si>
  <si>
    <t>Папка-скоросшиватель А4 с прозр.верхом ПС-200 красн. арт.546</t>
  </si>
  <si>
    <t>4620000201885</t>
  </si>
  <si>
    <t>Папка-скоросшиватель А4 с прозр.верхом ПС-200 синяя арт.54265</t>
  </si>
  <si>
    <t>4620000201878</t>
  </si>
  <si>
    <t>Папка-скоросшиватель А4 с прозр.верхом ПС-200 фиолет. арт.548</t>
  </si>
  <si>
    <t>4620000201908</t>
  </si>
  <si>
    <t>Папка-скоросшиватель А5 с прозр.верхом ПС-200 голубой арт.1967</t>
  </si>
  <si>
    <t>4620000201625</t>
  </si>
  <si>
    <t>Папка-скоросшиватель А5 с прозр.верхом ПС-200 желтая арт.1970</t>
  </si>
  <si>
    <t>4620000201816</t>
  </si>
  <si>
    <t>Папка-скоросшиватель А5 с прозр.верхом ПС-200 зеленая арт.81414</t>
  </si>
  <si>
    <t>4620000201809</t>
  </si>
  <si>
    <t>Папка-скоросшиватель А5 с прозр.верхом ПС-200 красный арт.81413</t>
  </si>
  <si>
    <t>4620000201793</t>
  </si>
  <si>
    <t>Папка-скоросшиватель А5 с прозр.верхом ПС-200 синяя арт.81415</t>
  </si>
  <si>
    <t>4620000201786</t>
  </si>
  <si>
    <t>Папка-скоросшиватель А5 с прозр.верхом ПС-200 фиолет. арт.1971</t>
  </si>
  <si>
    <t>Папка-уголок А4 Berlingo, 3 отделения, 150мкм, ассорти арт.AGp_04449</t>
  </si>
  <si>
    <t>4620011433282</t>
  </si>
  <si>
    <t>Папка-уголок А4 ErichKrause "Clear Standard L-FILE", желтый арт.42917</t>
  </si>
  <si>
    <t>4640020931777</t>
  </si>
  <si>
    <t>Папка-уголок А4 ErichKrause "Clear Standard L-FILE", зеленый арт.42919</t>
  </si>
  <si>
    <t>4640020931814</t>
  </si>
  <si>
    <t>Папка-уголок А4 ErichKrause "Clear Standard L-FILE", красный арт.42916</t>
  </si>
  <si>
    <t>4640020931753</t>
  </si>
  <si>
    <t>Папка-уголок А4 ErichKrause "Clear Standard L-FILE", прозрачный арт.42915</t>
  </si>
  <si>
    <t>4640020931739</t>
  </si>
  <si>
    <t>Папка-уголок А4 ErichKrause "Clear Standard L-FILE", синий арт.42918</t>
  </si>
  <si>
    <t>4640020931791</t>
  </si>
  <si>
    <t>Папка-уголок А4 ПЛОТНАЯ б/цветная ПУ Е-310 арт.422</t>
  </si>
  <si>
    <t>4620000200147</t>
  </si>
  <si>
    <t>Папка-уголок А4 ПЛОТНАЯ желтая ПУ Е-310 арт.12923</t>
  </si>
  <si>
    <t>4620000203841</t>
  </si>
  <si>
    <t>Папка-уголок А4 ПЛОТНАЯ зеленая ПУ Е-310 арт.12924</t>
  </si>
  <si>
    <t>4620000203834</t>
  </si>
  <si>
    <t>Папка-уголок А4 ПЛОТНАЯ красная ПУ Е-310 арт.12925</t>
  </si>
  <si>
    <t>4620000203827</t>
  </si>
  <si>
    <t>Папка-уголок А4 ПЛОТНАЯ синяя ПУ Е-310 арт.12926</t>
  </si>
  <si>
    <t>4620000203810</t>
  </si>
  <si>
    <t>Планинг недатир. deVENTE "Wild" 310*145 мм, 128 стр, темно-синий, крем. бумага, тв. обл., евроспираль арт.2039406</t>
  </si>
  <si>
    <t>4627090481616</t>
  </si>
  <si>
    <t>Планшет А4 с верх.зажимом "синий" арт.15PLA</t>
  </si>
  <si>
    <t>4620000204145</t>
  </si>
  <si>
    <t>Планшет А4 с верх.зажимом "черный" арт.15PLA</t>
  </si>
  <si>
    <t>4620000204138</t>
  </si>
  <si>
    <t>Планшет А5 с верх.зажимом, ПВХ, внутри картон, черный арт.2822-107</t>
  </si>
  <si>
    <t>4607031187050</t>
  </si>
  <si>
    <t>Планшет для акварели А4 20л. "Алая роза" 200 г/м2, бумага карточная тисненая "Скорлупа"  арт.ПЛАР/А4</t>
  </si>
  <si>
    <t>4607112476578</t>
  </si>
  <si>
    <t>Планшет для пастелей А3 15л. "Теплые цвета" (5 цвета бумаги) 160 г/м2  арт. ПЛ-8886</t>
  </si>
  <si>
    <t>4607112478886</t>
  </si>
  <si>
    <t>Пластбокс прозрачный для бумажного блока 9*9*5 арт.ПЛ61</t>
  </si>
  <si>
    <t>4620000637141</t>
  </si>
  <si>
    <t>Пластбокс прозрачный для бумажного блока 9*9*9 арт.ПЛ41</t>
  </si>
  <si>
    <t>4620000637578</t>
  </si>
  <si>
    <t>Пленка для ламинирования А4 deVENTE 100 л, 100 мкм, глянцевая, арт. 4122305</t>
  </si>
  <si>
    <t>4627077802236</t>
  </si>
  <si>
    <t>Argo</t>
  </si>
  <si>
    <t>Пленка для ламинирования А4/80, 100шт/уп арт.А4/2*80</t>
  </si>
  <si>
    <t>5903069005403</t>
  </si>
  <si>
    <t>Пленка стрейч пятислойная 450мм 17мкм, 142 метра  арт. 101/71/6</t>
  </si>
  <si>
    <t>Подставка для бумажного блока ErichKrause 100*100*80, материал стальной мэш, цвет серебро арт.22506</t>
  </si>
  <si>
    <t>4041485225065</t>
  </si>
  <si>
    <t>Подставка для бумажного блока ErichKrause 100*100*80, материал стальной мэш, черная арт.22505</t>
  </si>
  <si>
    <t>4041485225058</t>
  </si>
  <si>
    <t>Подставка для визитных карточек Berlingo "Steel&amp;Style" материал стальной мэш, цвет серебро арт.BMs_41151</t>
  </si>
  <si>
    <t>4260107494485</t>
  </si>
  <si>
    <t>Подставка для визитных карточек Berlingo "Steel&amp;Style" материал стальной мэш, черная арт.BMs_41152</t>
  </si>
  <si>
    <t>4260107494454</t>
  </si>
  <si>
    <t>Подставка для канцелярских принадлежностей deVENTE 10х9х9,3 см, с магнитным держ. для скрепок, голубая, арт. 4104722</t>
  </si>
  <si>
    <t>4627140007391</t>
  </si>
  <si>
    <t>Подставка для канцелярских принадлежностей deVENTE 10х9х9,3 см, с магнитным держ. для скрепок, розовая, арт. 4104723</t>
  </si>
  <si>
    <t>4627140007407</t>
  </si>
  <si>
    <t>Подставка для книг с упором  ассорти арт.ПК40</t>
  </si>
  <si>
    <t>4650066304886</t>
  </si>
  <si>
    <t>Подставка для книг с упором металлическая арт.2Г-07-00</t>
  </si>
  <si>
    <t>4602078002779</t>
  </si>
  <si>
    <t>Подставка для книг с упором металлическая арт.2Г-07-01</t>
  </si>
  <si>
    <t>4602078002762</t>
  </si>
  <si>
    <t>Подставка для книг с упором металлическая, пластиковое основание "Эконом" арт.243240</t>
  </si>
  <si>
    <t>4680211118822</t>
  </si>
  <si>
    <t>Подставка для пишущих принадлежностей и бумаг deVENTE "Ежик", 13,5х8х6 см, арт. 4104800</t>
  </si>
  <si>
    <t>4627149622946</t>
  </si>
  <si>
    <t>Подставка для ручек Berlingo "Steel&amp;Style", квадратное основание, материал стальной мэш, цвет серебро арт.BMs_41111</t>
  </si>
  <si>
    <t>4260107494409</t>
  </si>
  <si>
    <t>Подставка для ручек Berlingo "Steel&amp;Style", квадратное основание, материал стальной мэш, черная арт.BMs_41112</t>
  </si>
  <si>
    <t>4260107494379</t>
  </si>
  <si>
    <t>Подставка для ручек ErichKrause, круглое основание, материал стальной мэш, цвет серебро арт.22502</t>
  </si>
  <si>
    <t>4041485225027</t>
  </si>
  <si>
    <t>Подставка для ручек ErichKrause, круглое основание, материал стальной мэш, черная арт.22501</t>
  </si>
  <si>
    <t>4041485225010</t>
  </si>
  <si>
    <t>Подставка для скрепок магнитная deVENTE, 5,4х7,2 см, арт. 4134302</t>
  </si>
  <si>
    <t>4627077800676</t>
  </si>
  <si>
    <t>Подставка для скрепок магнитная deVENTE, 9х7х6,3 см, со скрепками (30шт), пластик, салатовая, арт. 4134704</t>
  </si>
  <si>
    <t>4627140007414</t>
  </si>
  <si>
    <t>Подставка под календарь малая серая арт.ПК26</t>
  </si>
  <si>
    <t>4620000631859</t>
  </si>
  <si>
    <t>Подставка под календарь малая черная арт.ПК21</t>
  </si>
  <si>
    <t>4620000631804</t>
  </si>
  <si>
    <t>Подставка под календарь серая арт.ПК06</t>
  </si>
  <si>
    <t>4620000631781</t>
  </si>
  <si>
    <t>Подставка под календарь черная арт.ПК01</t>
  </si>
  <si>
    <t>4620000631736</t>
  </si>
  <si>
    <t>Покрытие настольное «Карта мира» (380 х 590 мм) арт.2129.М</t>
  </si>
  <si>
    <t>4607031181195</t>
  </si>
  <si>
    <t>Покрытие настольное «Карта ретро» (380 х 590 мм) арт.2129.С</t>
  </si>
  <si>
    <t>4607031181171</t>
  </si>
  <si>
    <t>Покрытие настольное прозрачное (655 х 475 мм) арт.2808</t>
  </si>
  <si>
    <t>4607031185513</t>
  </si>
  <si>
    <t>Покрытие настольное с прозрачным клапаном (380 х 590 мм) арт.2129.П</t>
  </si>
  <si>
    <t>4607031181232</t>
  </si>
  <si>
    <t>Полотенца бумажные  VEIRO Linia Classic двухслойные, белые, 2 рул. арт.5П22</t>
  </si>
  <si>
    <t>4607075790995</t>
  </si>
  <si>
    <t>Полотенца бумажные TORK д/диспенсера H3, ZZ-сложения, белые, однослойные, 250 листов в упак. арт.120108-00</t>
  </si>
  <si>
    <t>4605331022002</t>
  </si>
  <si>
    <t>Портфель  "Hannover" ткань,  3 отделения, метал. замок, с ремнем арт.По_ТК_687</t>
  </si>
  <si>
    <t>4610008526875</t>
  </si>
  <si>
    <t>Портфель  "Neptun" кожзам, 3 отделения, ручка арт.ПаКЗ_587</t>
  </si>
  <si>
    <t>4610008525878</t>
  </si>
  <si>
    <t>Портфель  "Pulsar" кожзам,5 отделений, плечевой ремень, ручка пластик арт.ПаКЗ_584</t>
  </si>
  <si>
    <t>4610008525847</t>
  </si>
  <si>
    <t>Портфель  "Rotterdam" люкс кожзам, 4 отделения, плечевой ремень арт.По_КЗ_676</t>
  </si>
  <si>
    <t>4610008526769</t>
  </si>
  <si>
    <t>Портфель  "Siena" кожзам, 2 отделения, ручка пластик арт.По_КЗ_689</t>
  </si>
  <si>
    <t>4610008526899</t>
  </si>
  <si>
    <t>Портфель-картотека/12 отд. синяя арт.10P-12Pсин</t>
  </si>
  <si>
    <t>4612749553295</t>
  </si>
  <si>
    <t>Портфель-картотека/12 отд. черная арт.10P-12Pчерн</t>
  </si>
  <si>
    <t>4612749553301</t>
  </si>
  <si>
    <t>Пружины для перфопер. 10 мм. черные пластиковые OfficeSpace (100 шт.) арт.PC7005</t>
  </si>
  <si>
    <t>4680211050054</t>
  </si>
  <si>
    <t>Пружины для перфопер. 12 мм. черные пластиковые OfficeSpace (100 шт.) арт.PC7008</t>
  </si>
  <si>
    <t>4680211050085</t>
  </si>
  <si>
    <t>Пружины для перфопер. 14 мм. белые пластиковые OfficeSpace (100 шт.) арт.PC7009</t>
  </si>
  <si>
    <t>4680211050092</t>
  </si>
  <si>
    <t>Пружины для перфопер. 38 мм черн. ARGO (50шт), арт.PBCblack38</t>
  </si>
  <si>
    <t>5903069998286</t>
  </si>
  <si>
    <t>Пружины для перфопер. 51 мм. черные ARGO (50 шт.) арт. PBCblack51</t>
  </si>
  <si>
    <t>5903069998163</t>
  </si>
  <si>
    <t>РШ (ручка шариковая) "VeGa" синий стержень 0.7, ассорти NEON 5 цв., арт РШ100</t>
  </si>
  <si>
    <t>4650066308075</t>
  </si>
  <si>
    <t>РШ (ручка шариковая) "Тонкая линия письма", синий стержень 0,7 на масл. основе арт.РК20</t>
  </si>
  <si>
    <t>4620000638391</t>
  </si>
  <si>
    <t>РШ (ручка шариковая) СТАММ 049 флю с синим стержнем арт.РШ01</t>
  </si>
  <si>
    <t>4620000635635</t>
  </si>
  <si>
    <t>РШ (ручка шариковая) СТАММ 111 "Офис" синий стержень 0,7 на масляной основе арт. ОФ999</t>
  </si>
  <si>
    <t>465066309324</t>
  </si>
  <si>
    <t>Разделитель Berlingo пластиковый, А4, 10 цветов арт.ARp_04040</t>
  </si>
  <si>
    <t>4620011433343</t>
  </si>
  <si>
    <t>Разделитель deVENTE пластиковый, A4+, алфавит А-Я арт.3051509</t>
  </si>
  <si>
    <t>4627102055743</t>
  </si>
  <si>
    <t>Разделитель deVENTE пластиковый, A4, цифры 1-12, 12 цветов арт. 3051507</t>
  </si>
  <si>
    <t>4627102055705</t>
  </si>
  <si>
    <t>Разделитель deVENTE пластиковый, А5, 5 цветов, цифры 1-5 арт.3051508</t>
  </si>
  <si>
    <t>4627102055729</t>
  </si>
  <si>
    <t>Резинки  банковские 60мм 1000гр./уп."Attomex", цветные арт.4152302</t>
  </si>
  <si>
    <t>4627077802977</t>
  </si>
  <si>
    <t>Резинки  банковские 60мм 1000гр./уп."ELLIPSE" арт.ellipse/20</t>
  </si>
  <si>
    <t>7630014903597</t>
  </si>
  <si>
    <t>Резинки банковские   60мм 100гр./уп."Attomex", цветные арт.4152310</t>
  </si>
  <si>
    <t>4627077807606</t>
  </si>
  <si>
    <t>Резинки банковские   60мм 100гр./уп."ELLIPSE" арт.ellipse/200</t>
  </si>
  <si>
    <t>7630014903603</t>
  </si>
  <si>
    <t>Резинки банковские  60мм 50гр./уп."Attomex", цветные арт.4152303</t>
  </si>
  <si>
    <t>4627077802984</t>
  </si>
  <si>
    <t>Роллер 0,3 мм трехгранный корпус, синий стержень арт.4615 0106</t>
  </si>
  <si>
    <t>8595013628775</t>
  </si>
  <si>
    <t>Роллер 0,3 мм трехгранный корпус, черный стержень арт.4615 0112</t>
  </si>
  <si>
    <t>8595013628799</t>
  </si>
  <si>
    <t>"REGAL"</t>
  </si>
  <si>
    <t>Ручка "REGAL 117" шариковая (серия Alice) в футляре, корпус белого жемчужного цвета арт.PB10-117-407B</t>
  </si>
  <si>
    <t>4718805802038</t>
  </si>
  <si>
    <t>Ручка "REGAL 117" шариковая (серия Alice) в футляре, корпус бирюзового цвета арт.PB10-117-223B</t>
  </si>
  <si>
    <t>4718805016121</t>
  </si>
  <si>
    <t>Ручка "REGAL 117" шариковая (серия Alice) в футляре, корпус розового жемчужного цвета арт.PB10-117-224B</t>
  </si>
  <si>
    <t>4718805016138</t>
  </si>
  <si>
    <t>Ручка "REGAL 12" набор (шариковая+перьевая) в футляре (серия George), черный корпус арт.L-12-200FB</t>
  </si>
  <si>
    <t>4718805800300</t>
  </si>
  <si>
    <t>Ручка "REGAL 12" шариковая  (серия George) в футляре, серебристый корпус арт.L-12-005B</t>
  </si>
  <si>
    <t>4718805800294</t>
  </si>
  <si>
    <t>4718805800256</t>
  </si>
  <si>
    <t>Ручка "REGAL 122" шариковая (серия Edward) в футляре, красный корпус арт.PB10-122-501B</t>
  </si>
  <si>
    <t>4718805016145</t>
  </si>
  <si>
    <t>Ручка "REGAL 122" шариковая (серия Edward) в футляре, синий корпус арт.PB10-122-502B</t>
  </si>
  <si>
    <t>4718805800263</t>
  </si>
  <si>
    <t>Ручка "REGAL 16" шариковая (серия Buckingham) в футляре, темно-синий корпус арт.L-16-202B</t>
  </si>
  <si>
    <t>Ручка "REGAL 16" шариковая (серия Buckingham) в футляре, черный корпус арт.L-16-200B</t>
  </si>
  <si>
    <t>4718805800317</t>
  </si>
  <si>
    <t>Ручка "REGAL 21" шариковая (серия Montgomery) в футляре, красный корпус арт.L-21-501B</t>
  </si>
  <si>
    <t>Ручка "REGAL 21" шариковая (серия Montgomery) в футляре, черный корпус арт.L-21-200B</t>
  </si>
  <si>
    <t>4718805021309</t>
  </si>
  <si>
    <t>Ручка "REGAL 26" набор (шариковая+перьевая) в футляре (серия Cambridge), матовый серый корпус арт.L-26-731FB</t>
  </si>
  <si>
    <t>4718805026328</t>
  </si>
  <si>
    <t>Ручка "REGAL 26" шариковая в футляре (серия Cambridge), матовый серый корпус арт.L-26-731B</t>
  </si>
  <si>
    <t>4718805026311</t>
  </si>
  <si>
    <t>Ручка "REGAL 26" шариковая в футляре (серия Cambridge), матовый черный корпус арт.L-26-710B</t>
  </si>
  <si>
    <t>Ручка "REGAL 284" шариковая (серия Hyde) в футляре, синий корпус арт.PB10-284-222B</t>
  </si>
  <si>
    <t>4718805016169</t>
  </si>
  <si>
    <t>Ручка "REGAL 284" шариковая (серия Hyde) в футляре, черный корпус арт.PB10-284-200B</t>
  </si>
  <si>
    <t>4718805016176</t>
  </si>
  <si>
    <t>Ручка "REGAL 38" шариковая (серия Catherine) в футляре, бирюзовый корпус арт.L-38-223B</t>
  </si>
  <si>
    <t>4718805038321</t>
  </si>
  <si>
    <t>Ручка "REGAL 38" шариковая (серия Catherine) в футляре, розовый корпус арт.L-38-225B</t>
  </si>
  <si>
    <t>4718805038314</t>
  </si>
  <si>
    <t>Ручка "REGAL 502" набор (шариковая+перьевая) в футляре (серия Jennings), корпус белого жемчужного цвета арт.L-502-407FB</t>
  </si>
  <si>
    <t>Ручка "REGAL 502" шариковая (серия Jennings) в футляре, корпус белого жемчужного цвета арт.L-502-407B</t>
  </si>
  <si>
    <t>4718805502310</t>
  </si>
  <si>
    <t>Ручка "REGAL 503" шариковая (серия Hadrian) в футляре, черный корпус арт.L-503-1611B</t>
  </si>
  <si>
    <t>4718805023280</t>
  </si>
  <si>
    <t>Ручка "REGAL 68" шариковая (серия Lane) в футляре, корпус небесно-голубого цвета арт.PB10-68-226B</t>
  </si>
  <si>
    <t>4718805016206</t>
  </si>
  <si>
    <t>Ручка "REGAL 68" шариковая (серия Lane) в футляре, фиолетовый корпус арт.PB10-68-221B</t>
  </si>
  <si>
    <t>4718805016213</t>
  </si>
  <si>
    <t>Ручка "REGAL 68" шариковая (серия Lane) в футляре, черный корпус арт.PB10-68-200B</t>
  </si>
  <si>
    <t>4718805016220</t>
  </si>
  <si>
    <t>Ручка "REGAL 69" шариковая (серия Andrew) в футляре, темно-синий корпус арт.L-69-202B</t>
  </si>
  <si>
    <t>Ручка "REGAL 71" шариковая (серия Oxford) в футляре, лак. черн. корпус с хромир. частями арт.X-71-951B</t>
  </si>
  <si>
    <t>Ручка Montex автомат. Clipknock с син. cтержнем, цветной пласт. корпус, арт. Clipknock</t>
  </si>
  <si>
    <t>8901015290016</t>
  </si>
  <si>
    <t>Ручка Montex автомат. Liner Dx с син. cтержнем металлическая, мет.клип, мет наконечник, корпус ассорти арт.Liner Dx</t>
  </si>
  <si>
    <t>8901015261009</t>
  </si>
  <si>
    <t>Ручка Montex автомат. Mint с син. cтержнем мет.клип, мет наконечник , резин. держатель, корпус ассорти арт.Mint</t>
  </si>
  <si>
    <t>8901015185008</t>
  </si>
  <si>
    <t>Ручка Montex автомат. Regal с син. стержнем металлическая, мет. клип, мет. нак-к, резин. держ., корпус ассорти арт.Regal</t>
  </si>
  <si>
    <t>8901015217013</t>
  </si>
  <si>
    <t>Ручка Montex автомат. SCALE с син. стержнем, пластм.клип, мет. наконечник, треуг. профиль арт.SCALE</t>
  </si>
  <si>
    <t>8901015159016</t>
  </si>
  <si>
    <t>Ручка Montex автомат. Sunline с син. cтержнем, мет.клип, мет наконечник, корпус ассорти арт.Sunline</t>
  </si>
  <si>
    <t>8901015603014</t>
  </si>
  <si>
    <t>Ручка Montex автомат. Trick с син. стержнем, пластм.клип, мет. наконечник,резин. держ-ль,треуг.корпус, ассорти арт.Trick</t>
  </si>
  <si>
    <t>Ручка Montex автомат. Young с син. стержнем, мет.клип, мет. нак-ник, резин. держ-ль, корпус ас-ти, в карт.уп. арт.Young</t>
  </si>
  <si>
    <t>8901015279004</t>
  </si>
  <si>
    <t>Ручка Montex перьевая Handy с 2 баллончиками и поршнем для чернил блист.уп. арт.Handy</t>
  </si>
  <si>
    <t>8901015404000</t>
  </si>
  <si>
    <t>Ручка Montex перьевая Student с баллончиком, синяя  арт.Student</t>
  </si>
  <si>
    <t>8901015143008</t>
  </si>
  <si>
    <t>Ручка Montex шариковая Aristo с син. cтержнем, резин. держатель арт.Aristo</t>
  </si>
  <si>
    <t>8901015268008</t>
  </si>
  <si>
    <t>Ручка Montex шариковая Dream с син. стержнем, резин. держатель, корпус ассорти арт.Dream</t>
  </si>
  <si>
    <t>8901015259013</t>
  </si>
  <si>
    <t>Ручка Montex шариковая Elite с син. стержнем, мет. клип, мет. наконечник, резин. держатель арт.Elite</t>
  </si>
  <si>
    <t>8901015612009</t>
  </si>
  <si>
    <t>Ручка Montex шариковая Fast Flow с син. стержнем, мет. клип, мет. наконечник, резин. держатель арт.Fast Flow</t>
  </si>
  <si>
    <t>8901015614003</t>
  </si>
  <si>
    <t>Ручка Montex шариковая Galaxy с син. стержнем,  мет. клип, корпус ассорти арт.Galaxy</t>
  </si>
  <si>
    <t>8901015231002</t>
  </si>
  <si>
    <t xml:space="preserve">Ручка Montex шариковая Glider с син. стержнем, резин. держатель арт.Glider </t>
  </si>
  <si>
    <t>8901015263003</t>
  </si>
  <si>
    <t>Ручка Montex шариковая Graphic с син. cтержнем, треуг. корпус, мет. клип, корпус асс-ти в карт.уп арт.Graphic</t>
  </si>
  <si>
    <t>8901015606008</t>
  </si>
  <si>
    <t>Ручка Montex шариковая HEXA с синим стержнем, пластм. клип арт.HEXA</t>
  </si>
  <si>
    <t>8901015297053</t>
  </si>
  <si>
    <t>8901015156008</t>
  </si>
  <si>
    <t>Ручка Montex шариковая ICON с син. cтержнем с резин. держателем, мет. клип арт.ICON</t>
  </si>
  <si>
    <t>8901015246013</t>
  </si>
  <si>
    <t xml:space="preserve">Ручка Montex шариковая Mastani с син. стержнем, пластм. клип, черный корпус арт.Mastani </t>
  </si>
  <si>
    <t>8901015619053</t>
  </si>
  <si>
    <t>8901015273002</t>
  </si>
  <si>
    <t>Ручка Montex шариковая Megatop Dx с син. cтержнем с резин. держателем, мет. клип арт.Megatop Dx</t>
  </si>
  <si>
    <t>8901015172008</t>
  </si>
  <si>
    <t>Ручка Montex шариковая Megatop с син. cтержнем с резин. держателем, мет. клип арт.Megatop</t>
  </si>
  <si>
    <t>8901015137007</t>
  </si>
  <si>
    <t>Ручка Montex шариковая Monitor с син. стержнем, мет. клип, мет. наконечник, резин. держ., корп. ассорти арт.Monitor</t>
  </si>
  <si>
    <t>8901015269005</t>
  </si>
  <si>
    <t>Ручка Montex шариковая Murphy с син. cтержнем с резин. держателем, мет. клип арт.Murphy</t>
  </si>
  <si>
    <t>Ручка Montex шариковая Presto с син. cтержнем  арт.Presto</t>
  </si>
  <si>
    <t>8901015272005</t>
  </si>
  <si>
    <t>Ручка Montex шариковая Smooth Flow с син. стержнем, мет. клип, резин. держатель арт.Smooth Flow</t>
  </si>
  <si>
    <t>8901015278007</t>
  </si>
  <si>
    <t>Ручка Montex шариковая Tricon с син. стержнем, треуг. корпус, ассорти арт.Tricon</t>
  </si>
  <si>
    <t>8901015285005</t>
  </si>
  <si>
    <t>Ручка Montex шариковая VIVA с син. стержнем c резиновым держателем арт.VIVA</t>
  </si>
  <si>
    <t>8901015623005</t>
  </si>
  <si>
    <t>Ручка Montex шариковая Winner Dx с син. cтержнем, пластм. клип, мет. наконечник, корпус ассорти арт.Winner Dx</t>
  </si>
  <si>
    <t>8901015270018</t>
  </si>
  <si>
    <t>Ручка Montex шариковая Winner с син. cтержнем, пластм. клип, корпус ассорти арт.Winner</t>
  </si>
  <si>
    <t>8901015270001</t>
  </si>
  <si>
    <t>Ручка Schreiber шариковая с подвеской "слон", арт. 1701-16</t>
  </si>
  <si>
    <t>4670027464251</t>
  </si>
  <si>
    <t>Ручка Schreiber шариковая с подвеской "слоник", арт. 1701-22</t>
  </si>
  <si>
    <t>4670027464930</t>
  </si>
  <si>
    <t>Ручка автоматическая deVENTE 0,7мм, Soft Touch корпус, синяя, арт. 5070814</t>
  </si>
  <si>
    <t>4627149625947</t>
  </si>
  <si>
    <t>Ручка автоматическая deVENTE 0,7мм, цветной корпус, каучук.держатель, синяя арт. 5070804</t>
  </si>
  <si>
    <t>4627140009524</t>
  </si>
  <si>
    <t>Ручка автоматическая deVENTE Perfecto 0,7мм, цветной корпус, синяя арт. 5070803</t>
  </si>
  <si>
    <t>4627140009500</t>
  </si>
  <si>
    <t>Ручка автоматическая deVENTE d=1 мм, красный металлический корпус, хромир. элементы, в индивид. упаковке арт. 5070607</t>
  </si>
  <si>
    <t>4627125393952</t>
  </si>
  <si>
    <t>Ручка автоматическая deVENTE подарочная, металлич., поворотный механизм, с кристаллом, корпус ассорти, арт. 9021702</t>
  </si>
  <si>
    <t>4627135527125</t>
  </si>
  <si>
    <t>Ручка автоматическая deVENTE подарочная, металлич., поворотный механизм, с подвеской в форме короны, арт. 9021704</t>
  </si>
  <si>
    <t>4627135527149</t>
  </si>
  <si>
    <t>Ручка автоматическая deVENTE подарочная, поворотный механизм, в форме брелока, стразы, арт. 9021701</t>
  </si>
  <si>
    <t>4627135527200</t>
  </si>
  <si>
    <t>Ручка автоматическая deVENTE подарочная, поворотный механизм, кристаллы, стилус, синяя, арт. 9021700</t>
  </si>
  <si>
    <t>4627135527187</t>
  </si>
  <si>
    <t>Ручка гелевая Attomex, d=0,5 мм, с прозрачным корпусом и резиновым держателем, зеленая арт.5051309</t>
  </si>
  <si>
    <t>4627079494217</t>
  </si>
  <si>
    <t>Ручка гелевая Attomex, d=0,5 мм, с прозрачным корпусом и резиновым держателем, красная арт.5051308</t>
  </si>
  <si>
    <t>4627079494194</t>
  </si>
  <si>
    <t>Ручка гелевая Attomex, d=0,5 мм, с прозрачным корпусом и резиновым держателем, синяя арт.5051306</t>
  </si>
  <si>
    <t>4627079494156</t>
  </si>
  <si>
    <t>Ручка гелевая Attomex, d=0,5 мм, с прозрачным корпусом и резиновым держателем, черная арт.5051307</t>
  </si>
  <si>
    <t>4627079494170</t>
  </si>
  <si>
    <t>Crown</t>
  </si>
  <si>
    <t>Ручка гелевая Crown металлик золото, 0.7мм арт.HJR-500GSM</t>
  </si>
  <si>
    <t>8803654005122</t>
  </si>
  <si>
    <t>Ручка гелевая Crown металлик серебро, 0.7мм арт.HJR-500GSM</t>
  </si>
  <si>
    <t>8803654005139</t>
  </si>
  <si>
    <t>Ручка гелевая Crown пастель белая, 0.8мм арт.HJR-500P</t>
  </si>
  <si>
    <t>8803654006457</t>
  </si>
  <si>
    <t>Ручка гелевая Crown фиолетовая, 0.7мм арт.HJR-500H</t>
  </si>
  <si>
    <t>8803654002558</t>
  </si>
  <si>
    <t>Ручка гелевая ErichKrause "G-ICE" синяя, игольч. наконечник арт.39003</t>
  </si>
  <si>
    <t>4041485390039</t>
  </si>
  <si>
    <t>Ручка гелевая ErichKrause "G-ICE" черная, игольч. наконечник арт.39004</t>
  </si>
  <si>
    <t>4041485390046</t>
  </si>
  <si>
    <t>Ручка гелевая ErichKrause "G-POINT" красная, игольч. наконечник арт.17629</t>
  </si>
  <si>
    <t>4041485176299</t>
  </si>
  <si>
    <t>Ручка гелевая ErichKrause "G-POINT" синяя, игольч. наконечник арт.17627</t>
  </si>
  <si>
    <t>4041485176275</t>
  </si>
  <si>
    <t>Ручка гелевая ErichKrause "G-POINT" черная, игольч. наконечник арт.17628</t>
  </si>
  <si>
    <t>4041485176282</t>
  </si>
  <si>
    <t>Ручка гелевая ErichKrause "G-SOFT" синяя, игольч. наконечник арт.39206</t>
  </si>
  <si>
    <t>4041485392064</t>
  </si>
  <si>
    <t>Ручка гелевая ErichKrause "G-SOFT" черная, игольч. наконечник арт.39207</t>
  </si>
  <si>
    <t>4041485392071</t>
  </si>
  <si>
    <t>Ручка гелевая ErichKrause "G-TONE" красная арт.17811</t>
  </si>
  <si>
    <t>4041485178118</t>
  </si>
  <si>
    <t>Ручка гелевая ErichKrause "G-TONE" синяя арт.17809</t>
  </si>
  <si>
    <t>4041485178095</t>
  </si>
  <si>
    <t>Ручка гелевая ErichKrause "MEGAPOLIS GEL" синяя арт.92</t>
  </si>
  <si>
    <t>4041485000921</t>
  </si>
  <si>
    <t>Ручка гелевая ErichKrause "MEGAPOLIS GEL" черная арт.93</t>
  </si>
  <si>
    <t>4041485000938</t>
  </si>
  <si>
    <t>Ручка гелевая ErichKrause "R-301 ORIGINAL Gel" красная арт.42722</t>
  </si>
  <si>
    <t>4041485427223</t>
  </si>
  <si>
    <t>Ручка гелевая ErichKrause "R-301 ORIGINAL Gel" черная арт.42721</t>
  </si>
  <si>
    <t>4041485427216</t>
  </si>
  <si>
    <t>Ручка гелевая deVENTE "My Gold" d=0.5 мм, черный корпус, золотой клип, СИНИЕ чернила, арт. 5051781</t>
  </si>
  <si>
    <t>4627138510247</t>
  </si>
  <si>
    <t>Ручка гелевая deVENTE, d=0,5 мм, с непрозрачным корпусом и резиновым держателем, синяя арт.5051338</t>
  </si>
  <si>
    <t>4627079496471</t>
  </si>
  <si>
    <t>Ручка гелевая deVENTE, d=0,5 мм, с непрозрачным корпусом и резиновым держателем, черная арт.5051339</t>
  </si>
  <si>
    <t>4627079496495</t>
  </si>
  <si>
    <t>Ручка капиллярная ErichKrause "F-15" красная арт.37067</t>
  </si>
  <si>
    <t>4041485370673</t>
  </si>
  <si>
    <t>Ручка капиллярная ErichKrause "F-15" синяя арт.37065</t>
  </si>
  <si>
    <t>4041485370659</t>
  </si>
  <si>
    <t>Ручка капиллярная ErichKrause "F-15" черная арт.37066</t>
  </si>
  <si>
    <t>4041485370666</t>
  </si>
  <si>
    <t>Ручка капиллярная двусторонняя deVENTE пиши-стирай 0,5мм/3мм, белый корпус, синяя, арт. 5060700</t>
  </si>
  <si>
    <t>4627127731820</t>
  </si>
  <si>
    <t>Ручка капиллярная двусторонняя deVENTE пиши-стирай 0,5мм/3мм, корпус с рисунком, синяя, арт. 5060701</t>
  </si>
  <si>
    <t>4627127731844</t>
  </si>
  <si>
    <t>Ручка шариковая "цветок" deVENTE, мягкий пластиковый корпус, арт. 9021711</t>
  </si>
  <si>
    <t>4627135528368</t>
  </si>
  <si>
    <t xml:space="preserve">Ручка шариковая "цветок" deVENTE, мягкий пластиковый корпус, арт. 9021712 </t>
  </si>
  <si>
    <t>4627135528382</t>
  </si>
  <si>
    <t>Ручка шариковая "цветок" deVENTE, мягкий пластиковый корпус, арт. 9021713</t>
  </si>
  <si>
    <t>4627135528405</t>
  </si>
  <si>
    <t>Ручка шариковая "цветок" deVENTE, мягкий пластиковый корпус, арт. 9021714</t>
  </si>
  <si>
    <t>4627135528429</t>
  </si>
  <si>
    <t>Ручка шариковая "цветок" deVENTE, мягкий пластиковый корпус, арт. 9021715</t>
  </si>
  <si>
    <t>4627135528443</t>
  </si>
  <si>
    <t>Ручка шариковая "цветок", мягкий пластиковый корпус, арт. S 315</t>
  </si>
  <si>
    <t>4690219143924</t>
  </si>
  <si>
    <t>Ручка шариковая Attomex Lancer d=0.5 мм, синяя, прозрачн. флуоресц. корпус, ароматизир. чернила, арт. 5073407</t>
  </si>
  <si>
    <t>4627090483351</t>
  </si>
  <si>
    <t>Ручка шариковая Attomex d=0.7 мм, зеленая, прозрачн. корпус, арт. 5073323</t>
  </si>
  <si>
    <t>4627079495757</t>
  </si>
  <si>
    <t>Ручка шариковая Attomex d=0.7 мм, красная, прозрачн. корпус, арт. 5073322</t>
  </si>
  <si>
    <t>4627079496686</t>
  </si>
  <si>
    <t>Ручка шариковая Attomex d=0.7 мм, синяя, полупрозрачн. корпус, металлич. наконечником арт. 5073310</t>
  </si>
  <si>
    <t>4627079494293</t>
  </si>
  <si>
    <t>Ручка шариковая Attomex d=0.7 мм, синяя, прозрачн. корпус, арт. 5073320</t>
  </si>
  <si>
    <t>4627079496648</t>
  </si>
  <si>
    <t>Ручка шариковая Attomex d=0.7 мм, черная, прозрачн. корпус, арт. 5073321</t>
  </si>
  <si>
    <t>4627079495719</t>
  </si>
  <si>
    <t>Ручка шариковая Berlingo "Metallic", 0,7мм, синяя, цвет корпуса ассорти арт.CBp_70752</t>
  </si>
  <si>
    <t>4606782160572</t>
  </si>
  <si>
    <t>Ручка шариковая Berlingo "Slick", 0,7мм, синяя, цвет корпуса ассорти арт.CBp_07772</t>
  </si>
  <si>
    <t>Ручка шариковая Berlingo "Starlight", 0,7мм, синяя, цвет корпуса ассорти арт.CBp_07250</t>
  </si>
  <si>
    <t>4260107486046</t>
  </si>
  <si>
    <t>Ручка шариковая Berlingo "Tribase Fuze", 0,7мм, синяя, цвет корпуса ассорти арт.CBp_70922</t>
  </si>
  <si>
    <t>4260107491712</t>
  </si>
  <si>
    <t>Ручка шариковая Berlingo "W-219 Color", 0,7мм, синяя, цвет корпуса ассорти арт.CBp_70912</t>
  </si>
  <si>
    <t>4260107474036</t>
  </si>
  <si>
    <t>4041485335184</t>
  </si>
  <si>
    <t>4041485335146</t>
  </si>
  <si>
    <t>4041485335115</t>
  </si>
  <si>
    <t>4041485924517</t>
  </si>
  <si>
    <t>4041485431848</t>
  </si>
  <si>
    <t>4041485431855</t>
  </si>
  <si>
    <t>4041485395324</t>
  </si>
  <si>
    <t>4041485395270</t>
  </si>
  <si>
    <t>4041485427513</t>
  </si>
  <si>
    <t>4041485431978</t>
  </si>
  <si>
    <t>4041485431961</t>
  </si>
  <si>
    <t>4041485431947</t>
  </si>
  <si>
    <t>4041485431954</t>
  </si>
  <si>
    <t>4041485310594</t>
  </si>
  <si>
    <t>4041485445920</t>
  </si>
  <si>
    <t>4041485394334</t>
  </si>
  <si>
    <t>4041485138730</t>
  </si>
  <si>
    <t>4041485138747</t>
  </si>
  <si>
    <t>4041485138754</t>
  </si>
  <si>
    <t>4041485196136</t>
  </si>
  <si>
    <t>4041485196143</t>
  </si>
  <si>
    <t>4041485415398</t>
  </si>
  <si>
    <t>4041485946588</t>
  </si>
  <si>
    <t>4041485946601</t>
  </si>
  <si>
    <t>4041485946595</t>
  </si>
  <si>
    <t>4041485370529</t>
  </si>
  <si>
    <t>4041485325369</t>
  </si>
  <si>
    <t>4041485325345</t>
  </si>
  <si>
    <t>4041485325376</t>
  </si>
  <si>
    <t>4041485335191</t>
  </si>
  <si>
    <t>Ручка шариковая deVENTE "My Gold" d=0.7 мм, черный корпус, золотой клип, масляные СИНИЕ чернила, арт. 5073734</t>
  </si>
  <si>
    <t>4627138510285</t>
  </si>
  <si>
    <t>Ручка шариковая deVENTE Fruits d=0.7 мм, цветной корпус, синяя, арт. 9021724</t>
  </si>
  <si>
    <t>4627138514542</t>
  </si>
  <si>
    <t>Ручка шариковая deVENTE Milk Shake d=0.7, ультра гладкое письмо, масл.чернила, игольч., синий, арт. 5073662</t>
  </si>
  <si>
    <t>4627127733770</t>
  </si>
  <si>
    <t>Ручка шариковая deVENTE Rainbow d=0.5, неоновый каучуковый корпус, синий, арт. 5073600</t>
  </si>
  <si>
    <t>4627109702411</t>
  </si>
  <si>
    <t>Ручка шариковая deVENTE Study d=0.7 мм, для левшей, каучуковый корпус арт. 5073606</t>
  </si>
  <si>
    <t>4627127733909</t>
  </si>
  <si>
    <t>Ручка шариковая deVENTE Study d=0.7 мм, для правшей, каучуковый корпус арт. 5073605</t>
  </si>
  <si>
    <t>4627127733923</t>
  </si>
  <si>
    <t>Ручка шариковая deVENTE Summer d=0.5, неоновый корпус, полупрозр.держатель, синий, арт. 5073412</t>
  </si>
  <si>
    <t>4627093351299</t>
  </si>
  <si>
    <t>Ручка шариковая deVENTE Vivo d=0.7, цветной корпус корпус, синий стержень, арт. 5073710</t>
  </si>
  <si>
    <t>4627140004758</t>
  </si>
  <si>
    <t>Ручка шариковая deVENTE d=0.7 мм, с декоративной подвеской, цветной корпус, синяя, арт. 9021716</t>
  </si>
  <si>
    <t>4627138514481</t>
  </si>
  <si>
    <t>Ручка шариковая deVENTE d=0.7 мм, синяя, полупрозрачн. корпус, резин.держ. арт. 5073329</t>
  </si>
  <si>
    <t>4627079495955</t>
  </si>
  <si>
    <t>Ручка шариковая deVENTE d=0.7 мм, стираемая ластиком "Stealth", синяя, арт. 5070790</t>
  </si>
  <si>
    <t>4627135528528</t>
  </si>
  <si>
    <t>Ручка шариковая deVENTE Зайки d=0.7 мм, цветной корпус в форме зайца, арт. 9021718</t>
  </si>
  <si>
    <t>4627138514566</t>
  </si>
  <si>
    <t>Ручка шариковая deVENTE Зайцы d=0.7 мм, цветной корпус, синяя арт. 9021800</t>
  </si>
  <si>
    <t>4627140009609</t>
  </si>
  <si>
    <t>Ручка шариковая deVENTE Зверята d=0.7 мм, белый корпус, синяя арт. 9021707</t>
  </si>
  <si>
    <t>4627135528344</t>
  </si>
  <si>
    <t>Ручка шариковая deVENTE Микки Маус d=0.7 мм, цветной корпус, синяя, арт. 9021722</t>
  </si>
  <si>
    <t>4627138514665</t>
  </si>
  <si>
    <t>Ручка шариковая deVENTE Пончик d=0.7 мм, цветной корпус, синяя, арт. 9021719</t>
  </si>
  <si>
    <t>4627138514528</t>
  </si>
  <si>
    <t>Ручка шариковая deVENTE Улитка d=0.7 мм, цветной корпус, синяя, арт. 9021721</t>
  </si>
  <si>
    <t>4627138514504</t>
  </si>
  <si>
    <t>Ручка шариковая deVENTE Эмодзи d=0.7 мм, желтый корпус, синяя, арт. 9021706</t>
  </si>
  <si>
    <t>4627135528467</t>
  </si>
  <si>
    <t>Ручка шариковая deVENTE ультра гладкое письмо, прозр. корпус, резин. держатель, син.стерж. арт.5070342</t>
  </si>
  <si>
    <t>4627079498499</t>
  </si>
  <si>
    <t>Ручка шариковая автоматическая Berlingo "SI-400 Color", 0,7мм, синяя, грип, корпус ассорти арт.CBm_70500</t>
  </si>
  <si>
    <t>4260107479475</t>
  </si>
  <si>
    <t>Ручка шариковая автоматическая Berlingo "Starlight RT", 0,7мм, синяя, грип, корпус ассорти арт.CBp_07251</t>
  </si>
  <si>
    <t>4260107486053</t>
  </si>
  <si>
    <t>4041485177227</t>
  </si>
  <si>
    <t>4041485310679</t>
  </si>
  <si>
    <t>4041485000310</t>
  </si>
  <si>
    <t>4041485000327</t>
  </si>
  <si>
    <t>4041485390558</t>
  </si>
  <si>
    <t>4041485449676</t>
  </si>
  <si>
    <t>4041485433477</t>
  </si>
  <si>
    <t>4041485335306</t>
  </si>
  <si>
    <t>4041485335283</t>
  </si>
  <si>
    <t>4041485335290</t>
  </si>
  <si>
    <t>4041485450245</t>
  </si>
  <si>
    <t>4041485436225</t>
  </si>
  <si>
    <t>4041485177210</t>
  </si>
  <si>
    <t>Ручка шариковая настольная Attomex на пластик. пружине, на самокл. подставке, синие чернила арт.5072601</t>
  </si>
  <si>
    <t>4627121494448</t>
  </si>
  <si>
    <t>Ручка шариковая настольная deVENTE на металлической цепочке, на самокл. подставке арт.5072303</t>
  </si>
  <si>
    <t>4627079490127</t>
  </si>
  <si>
    <t>Ручка-держатель KOH-I-NOOR для пера пластмассовая арт.3322P01001</t>
  </si>
  <si>
    <t>8593539171690</t>
  </si>
  <si>
    <t>Ручка-линер 0.1 мм DOCUMENT черная арт.2631 0101</t>
  </si>
  <si>
    <t>8595013612040</t>
  </si>
  <si>
    <t>Ручка-линер 0.3 мм Elite черная арт.4721 0112</t>
  </si>
  <si>
    <t>8595013633038</t>
  </si>
  <si>
    <t>Ручка-линер 0.3 мм синяя арт.4621 0106</t>
  </si>
  <si>
    <t>8595013628577</t>
  </si>
  <si>
    <t>Ручка-линер 0.3 мм черная арт.4621 0112</t>
  </si>
  <si>
    <t>8595013628591</t>
  </si>
  <si>
    <t>Ручка-линер 0.6мм /F для письма на CD и DVD черная арт.4616 0112</t>
  </si>
  <si>
    <t>8595013631652</t>
  </si>
  <si>
    <t>Ручка-роллер ErichKrause "Metrix" синяя, 0,5мм, грип арт.45479</t>
  </si>
  <si>
    <t>4041485454793</t>
  </si>
  <si>
    <t>Ручки -линеры DOCUMENT набор 4шт., 0.1-0.7мм, черные, блист.уп. арт.2631 0404</t>
  </si>
  <si>
    <t>8595013619360</t>
  </si>
  <si>
    <t>Ручки гелевые 04 цв. набор, deVENTE "Cosmo Rainbow" d=0.8 мм, пастельные радужные цв. в пласт. подвесе, арт. 5051407</t>
  </si>
  <si>
    <t>4627086821877</t>
  </si>
  <si>
    <t>Ручки гелевые 04 цв. набор, deVENTE d=0.6 мм, в пласт. коробке с подвесом, арт. 5051417</t>
  </si>
  <si>
    <t>4627090483160</t>
  </si>
  <si>
    <t>Ручки гелевые 06 цв. набор, "deVENTE Cosmo Fluo" d=0.8 мм, неоновые флуоресцентные цвета, в блистере, арт. 5051303</t>
  </si>
  <si>
    <t>4627079403189</t>
  </si>
  <si>
    <t>Ручки гелевые 08 цв. набор, "deVENTE Cosmo Metallic" d=0.8 мм, металлик, в пластиковой коробке с подвесом, арт. 5051416</t>
  </si>
  <si>
    <t>4627086822980</t>
  </si>
  <si>
    <t>Ручки гелевые 12 цв. набор, "deVENTE Cosmo Fluo" d=0.8 мм, неоновые флуоресцентные цвета, в подвесе, арт. 5051420</t>
  </si>
  <si>
    <t>4627086823024</t>
  </si>
  <si>
    <t>Ручки гелевые 12 цв. набор, "deVENTE Cosmo Glitter" d=1 мм, c блестками, в подвесе, арт. 5051421</t>
  </si>
  <si>
    <t>4627086823031</t>
  </si>
  <si>
    <t>Ручки набор 10 цв. шариковые "deVENTE Cosmo", пластик. блистер арт.5073408</t>
  </si>
  <si>
    <t>4627090483405</t>
  </si>
  <si>
    <t>Ручки набор 3 цв. СТАММ 049. арт.РШ06</t>
  </si>
  <si>
    <t>4620000632245</t>
  </si>
  <si>
    <t>Ручки набор 3 цв. СТАММ 111  стержень 0,7 на масляной основе арт.РС26</t>
  </si>
  <si>
    <t>4620000639756</t>
  </si>
  <si>
    <t>Ручки набор 4 цв. СТАММ 049. арт.РШ07</t>
  </si>
  <si>
    <t>4620000632252</t>
  </si>
  <si>
    <t>Ручки набор 4 цв. СТАММ 511 ORANGE арт.РК17</t>
  </si>
  <si>
    <t>4620000635253</t>
  </si>
  <si>
    <t>Ручки шариковые набор ErichKrause "R-301 ORANGE" 4шт, синие, в пакете с е/п арт.22189</t>
  </si>
  <si>
    <t>4041485221890</t>
  </si>
  <si>
    <t>Ручки шариковые набор ErichKrause "R-301 ORANGE" 4шт,(синяя, черная, красная, зеленая) в пакете с е/п арт.44594</t>
  </si>
  <si>
    <t>4041485445944</t>
  </si>
  <si>
    <t>Ручки шариковые набор ErichKrause "R-301 SPRING" 4шт, синие, в пакете с е/п арт.33643</t>
  </si>
  <si>
    <t>4041485336433</t>
  </si>
  <si>
    <t>Ручки шариковые набор ErichKrause "R-301" 3шт, синие, в пакете с е/п арт.42618</t>
  </si>
  <si>
    <t>4041485426189</t>
  </si>
  <si>
    <t>Ручки шариковые набор ErichKrause "R-301" 4шт, (синяя, черная, красная, зеленая) в пакете с е/п арт.44593</t>
  </si>
  <si>
    <t>4041485445937</t>
  </si>
  <si>
    <t>Ручки шариковые набор ErichKrause Ultra Glide Technology "U-11 Yellow" 3шт, синие, в пакете с е/п арт.37098</t>
  </si>
  <si>
    <t>4041485370987</t>
  </si>
  <si>
    <t>Салфетка "Professional" Paclan вискозная, 300*380мм (3шт.) арт.410013</t>
  </si>
  <si>
    <t>4607036872340</t>
  </si>
  <si>
    <t>Салфетка губчатая сухая "York" 17,5*15,5 см, ассорти, 3 шт./уп арт.024040</t>
  </si>
  <si>
    <t>5903355002802</t>
  </si>
  <si>
    <t>Салфетка из микрофибры "CLEANTON" 30*30см, 3 шт/уп, красная арт.9007235</t>
  </si>
  <si>
    <t>4814694022332</t>
  </si>
  <si>
    <t>Салфетки "Бриз" 100 шт. белые арт.236</t>
  </si>
  <si>
    <t>4811499000275</t>
  </si>
  <si>
    <t>Салфетки (платки) бумажные носовые VEIRO 2-х слойные, 18*20см, белые, 10шт. арт.7т10-2</t>
  </si>
  <si>
    <t>4607133451141</t>
  </si>
  <si>
    <t>Салфетки влажные освежающие "Я самая" 15*20см с термальн. водой (алоэ,зеленый чай с жасмином) 63шт/уп арт.6159/3324/7849</t>
  </si>
  <si>
    <t>4650001681614</t>
  </si>
  <si>
    <t>Салфетки влажные освежающие AURA "Tropic coctail", 15*20см, 15шт., освежающие арт.6066/6065/8136</t>
  </si>
  <si>
    <t>4600999007569</t>
  </si>
  <si>
    <t>Салфетки чист. DEFENDER в тубе, д/пласт.поверхностей 110шт., размер XXL арт.30100</t>
  </si>
  <si>
    <t>4607125989331</t>
  </si>
  <si>
    <t>Салфетки чист. DEFENDER в тубе, для мониторов 100шт. арт.30320</t>
  </si>
  <si>
    <t>4019114303200</t>
  </si>
  <si>
    <t>Салфетки чист. в тубе (безалк.) 100шт Cleanlike арт.300601000</t>
  </si>
  <si>
    <t>4010054001263</t>
  </si>
  <si>
    <t>Салфетки чист. в тубе 100шт спирт. Cleanlike арт.300301000</t>
  </si>
  <si>
    <t>4010054100010</t>
  </si>
  <si>
    <t>Салфетки чист. сменный блок (безалк) (100 шт.) Cleanlike арт 340451000</t>
  </si>
  <si>
    <t>4010054001287</t>
  </si>
  <si>
    <t>Салфетки чист. сменный блок салфеток (спиртовой) (100шт.) Cleanlike арт. 340351000</t>
  </si>
  <si>
    <t>4010054190011</t>
  </si>
  <si>
    <t>Скобы №10 для степлера 1000шт./в карт. коробке арт. С10-1000</t>
  </si>
  <si>
    <t>4602078000966</t>
  </si>
  <si>
    <t>Скобы №10 для степлера Attomex арт.4141301</t>
  </si>
  <si>
    <t>4627077802717</t>
  </si>
  <si>
    <t>Скобы №10 для степлера ErichKrause арт.1188</t>
  </si>
  <si>
    <t>4041485011880</t>
  </si>
  <si>
    <t>Скобы №10 для степлера ErichKrause цветные арт.7140</t>
  </si>
  <si>
    <t>4041485071402</t>
  </si>
  <si>
    <t>Скобы №10 для степлера Kangaro арт.№10-1М</t>
  </si>
  <si>
    <t>8901057510028</t>
  </si>
  <si>
    <t>Скобы №23/10 Berlingo для степлера, оцинкованные арт.DSk_23100</t>
  </si>
  <si>
    <t>4260107456964</t>
  </si>
  <si>
    <t>Скобы №23/24 для степлера Kangaro (1000шт) арт.23/24Н</t>
  </si>
  <si>
    <t>8901057523240</t>
  </si>
  <si>
    <t>Скобы №24/6 для степлера Attomex арт.4141300</t>
  </si>
  <si>
    <t>4627077802694</t>
  </si>
  <si>
    <t>Скобы №24/6 для степлера Kangaro арт.24/6-1М</t>
  </si>
  <si>
    <t>8901057524421</t>
  </si>
  <si>
    <t>Скобы №24/6 для степлеров ErichKrause медные арт.7143</t>
  </si>
  <si>
    <t>4041485071433</t>
  </si>
  <si>
    <t>Скотч ADEL 18мм*20м в цветном диспенсере арт.4340121011</t>
  </si>
  <si>
    <t>8681241087672</t>
  </si>
  <si>
    <t>Скотч-лента  48мм* 57м. 40мк кор. Klebebander  арт.228/36/6-кор.</t>
  </si>
  <si>
    <t>7630014904532</t>
  </si>
  <si>
    <t>Скотч-лента  48мм*57м. 40мк прозр. Klebebander  арт.228/36/6-прозр.</t>
  </si>
  <si>
    <t>2200000052544</t>
  </si>
  <si>
    <t>Скотч-лента  50мм*25м. 40мк, желтая Klebebander  арт.212/36/6-жел.</t>
  </si>
  <si>
    <t>7630014912438</t>
  </si>
  <si>
    <t>Скотч-лента  50мм*25м. 40мк, зел. Klebebander  арт.212/36/6-зел.</t>
  </si>
  <si>
    <t>7630014906369</t>
  </si>
  <si>
    <t>Скотч-лента  50мм*25м. 40мк, син. Klebebander  арт.212/36/6-син.</t>
  </si>
  <si>
    <t>7630014906338</t>
  </si>
  <si>
    <t>Скотч-лента  50мм*25м. 40мк, черн. Klebebander  арт.212/36/6-черн.</t>
  </si>
  <si>
    <t>7630014909025</t>
  </si>
  <si>
    <t>Скотч-лента  50мм*57м. 40мк оранж. Klebebander  арт.228/36/6-оранж.</t>
  </si>
  <si>
    <t>7630014906581</t>
  </si>
  <si>
    <t>Скотч-лента  50мм*57м. 40мк, бел. Klebebander  арт.228/36/6-бел.</t>
  </si>
  <si>
    <t>7630014906567</t>
  </si>
  <si>
    <t>Скотч-лента двусторонняя 12мм*10м. полипропилен Klebebander арт.12*10двуст</t>
  </si>
  <si>
    <t>7630014923779</t>
  </si>
  <si>
    <t>Скотч-лента двусторонняя 50мм*10м. полипропилен Klebebander арт.50*10двуст</t>
  </si>
  <si>
    <t>7630014903276</t>
  </si>
  <si>
    <t>Скотч-лента двусторонняя 50мм*25м. полипропилен Klebebander арт.50*25двуст</t>
  </si>
  <si>
    <t>7630014906949</t>
  </si>
  <si>
    <t>Скотч-лента двусторонняя ErichKrause 12мм*10м арт.19447</t>
  </si>
  <si>
    <t>4041485194477</t>
  </si>
  <si>
    <t>Милен</t>
  </si>
  <si>
    <t>Скотч-лента двусторонняя на пенной основе 12мм х 5м, черная арт. Милен/12 черн</t>
  </si>
  <si>
    <t>7630014902811</t>
  </si>
  <si>
    <t>Скотч-лента прозрачная 12*33 Attomex, 35 мкм арт.4162709</t>
  </si>
  <si>
    <t>4627140007100</t>
  </si>
  <si>
    <t>Скотч-лента прозрачная 15*33 Attomex, 35 мкм арт.4162711</t>
  </si>
  <si>
    <t>4627140007148</t>
  </si>
  <si>
    <t>Скотч-лента прозрачная 19*33 Attomex, 35 мкм арт.4162713</t>
  </si>
  <si>
    <t>4627140007186</t>
  </si>
  <si>
    <t>Скотч-лента прозрачная 19*33 Berlingo, в диспенсере арт.FSk_19331</t>
  </si>
  <si>
    <t>4260107457879</t>
  </si>
  <si>
    <t>Скрепки Attomex оцинкованные 28мм, треугольные, с загнутым краем, в карт.коробке 100шт арт.4135305</t>
  </si>
  <si>
    <t>4627077802830</t>
  </si>
  <si>
    <t>Скрепки ErichKrause металлические 28мм, 100шт, в карт. коробочке арт.7855</t>
  </si>
  <si>
    <t>4041485078555</t>
  </si>
  <si>
    <t>Скрепки ErichKrause металлические 33мм, 100шт, в карт. коробочке арт.7856</t>
  </si>
  <si>
    <t>4041485078562</t>
  </si>
  <si>
    <t>Скрепки ErichKrause никелированные треугольные, 25мм, 100шт, в карт.коробочке арт.24869</t>
  </si>
  <si>
    <t>4041485248699</t>
  </si>
  <si>
    <t>Скрепки ErichKrause цветные (с винил. покрытием) 28мм, 100шт, в карт.коробочке арт.24871</t>
  </si>
  <si>
    <t>4041485248712</t>
  </si>
  <si>
    <t>Скрепки OfficeSpace цветные 28мм, 70шт арт.CV28_2258</t>
  </si>
  <si>
    <t>4680211002589</t>
  </si>
  <si>
    <t>Скрепки deVENTE оцинкованные 28мм, прямоуг. профиль, в карт.коробочке 100шт арт.4135334</t>
  </si>
  <si>
    <t>4627077801253</t>
  </si>
  <si>
    <t>Скрепки канцелярские L22 мм, 100 шт. карт. уп. арт.С22-100</t>
  </si>
  <si>
    <t>4602078000812</t>
  </si>
  <si>
    <t>Спрей deVENTE для очистки маркерных досок, 250 мл, арт. 4171501</t>
  </si>
  <si>
    <t>4627102054562</t>
  </si>
  <si>
    <t>Средство для очистки труб SANFOR 1000г, гель арт.1957</t>
  </si>
  <si>
    <t>4602984004805</t>
  </si>
  <si>
    <t>Средство для очистки туалета SANFOR WC "Морской Бриз" 750г, гель арт.1549</t>
  </si>
  <si>
    <t>4602984002764</t>
  </si>
  <si>
    <t>Средство для посуды "Fairy" 450мл. Зеленое яблоко арт.81562999</t>
  </si>
  <si>
    <t>Средство для посуды "Fairy" 900мл. Нежные руки. Чайное дерево и мята арт.81574503</t>
  </si>
  <si>
    <t>8001090017079</t>
  </si>
  <si>
    <t>Средство для сантехники SANFOR UNIVERSAL 1000г "Лимонная свежесть" арт.8894</t>
  </si>
  <si>
    <t>4602984010356</t>
  </si>
  <si>
    <t>Средство моющее для пола универсальное ЧИСТИН "Морская волна" с антибактериальным эффектом, 1л арт.3183</t>
  </si>
  <si>
    <t>4602984009831</t>
  </si>
  <si>
    <t>Стаканы одноразовые бумажные Huhtamaki "Кофе с собой", 250мл, 50шт/упак арт.33435/22862/27176/31253/30520</t>
  </si>
  <si>
    <t>2000000289427</t>
  </si>
  <si>
    <t>Степлер 10 (10л) OfficeSpace, синий арт.St210BU_1297</t>
  </si>
  <si>
    <t>4650062492976</t>
  </si>
  <si>
    <t>Степлер 10 (10л) deVENTE "Stripe" пластиковый, с антистеплером, в картон. коробке, черный, арт. 4142353</t>
  </si>
  <si>
    <t>4627077809396</t>
  </si>
  <si>
    <t>Степлер 10 (15л) Attomex металлический, с антистеплером, в карт. коробке, черный, арт. 4142321</t>
  </si>
  <si>
    <t>4627077808757</t>
  </si>
  <si>
    <t>Степлер 10 (15л) Attomex пластиковый, с антистеплером, в карт. коробке, черный, арт. 4142325</t>
  </si>
  <si>
    <t>4627077808832</t>
  </si>
  <si>
    <t>Степлер 10 (15л) ErichKrause мини, вмещает 50 скоб, с антистеплером, ассорти арт.4553</t>
  </si>
  <si>
    <t>4041485045533</t>
  </si>
  <si>
    <t>Степлер 10 (15л) ErichKrause, вмещает 50 скоб, с антистеплером, ассорти арт.4556</t>
  </si>
  <si>
    <t>4041485045564</t>
  </si>
  <si>
    <t>Степлер 10 (15л) ErichKrause, вмещает 50 скоб, с антистеплером, серый арт.4555</t>
  </si>
  <si>
    <t>4041485045557</t>
  </si>
  <si>
    <t>Степлер 10 (20л) ErichKrause "D1" компактный, вмещает 50 скоб, с антистеплером, ассорти арт.36916</t>
  </si>
  <si>
    <t>4041485369165</t>
  </si>
  <si>
    <t>Степлер 10 (20л) ErichKrause "D2", вмещает 100 скоб, с антистеплером, ассорти арт.36917</t>
  </si>
  <si>
    <t>4041485369172</t>
  </si>
  <si>
    <t>Степлер 10 (20л) ErichKrause "Elegance", свмещает 100 скоб, с антистеплером, ассорти арт.2175</t>
  </si>
  <si>
    <t>4041485021759</t>
  </si>
  <si>
    <t>Степлер 10 (25л) deVENTE "Power Save" пластиковый, технология снижения усилий, в карт. коробке, черный, арт. 4142501</t>
  </si>
  <si>
    <t>4627109704576</t>
  </si>
  <si>
    <t>Степлер 24/6 (20л) ErichKrause мини, вмещает 50 скоб, с антистеплером, ассорти арт.2185</t>
  </si>
  <si>
    <t>4041485021858</t>
  </si>
  <si>
    <t>Степлер 24/6 (25л) ErichKrause, вмещает 70 скоб, ассорти арт.2434</t>
  </si>
  <si>
    <t>4041485024347</t>
  </si>
  <si>
    <t>Степлер 24/6 (25л) ErichKrause, вмещает 70 скоб, черный арт.2433</t>
  </si>
  <si>
    <t>4041485024330</t>
  </si>
  <si>
    <t>Степлер 24/6, 26/6 (20л) deVENTE "Stripe" пластиковый, в картон. коробке, темно-зеленый, арт. 4142347</t>
  </si>
  <si>
    <t>4627077809273</t>
  </si>
  <si>
    <t>Степлер 24/6, 26/6 (20л) deVENTE "Stripe" пластиковый, в картон. коробке, черный, арт. 4142349</t>
  </si>
  <si>
    <t>4627077809310</t>
  </si>
  <si>
    <t>Степлер 24/6, 26/6 (30л) Berlingo пластиковый,черный арт.H3100</t>
  </si>
  <si>
    <t>4260107450689</t>
  </si>
  <si>
    <t>Стержень  поворотный "REGAL" д/авторучек 115мм, металлический, синий арт.RB 05</t>
  </si>
  <si>
    <t>Стержень  поворотный deVENTE для метал. авторучек, 115 мм. 0,7мм. арт.5074801</t>
  </si>
  <si>
    <t>4627149625886</t>
  </si>
  <si>
    <t>Стержень "REGAL" д/авторучек 98мм/0.8мм металлический, синий арт.RB 02</t>
  </si>
  <si>
    <t>Стержень "REGAL" д/авторучек 98мм/0.8мм металлический, черный арт.RB 01</t>
  </si>
  <si>
    <t>4718805700334</t>
  </si>
  <si>
    <t>Стержень 107 синий арт.СТ01</t>
  </si>
  <si>
    <t>4620000632580</t>
  </si>
  <si>
    <t>Стержень 152 мм Corvina красный арт.СТ23</t>
  </si>
  <si>
    <t>4620000632689</t>
  </si>
  <si>
    <t>Стержень 152 мм Corvina синий 0,7 на масляной основе арт.СТ25</t>
  </si>
  <si>
    <t>4620000638407</t>
  </si>
  <si>
    <t>Стержень 152 мм Corvina синий арт.СТ21</t>
  </si>
  <si>
    <t>4620000632665</t>
  </si>
  <si>
    <t>Стержень 152 мм Corvina черный арт.СТ24</t>
  </si>
  <si>
    <t>4620000632696</t>
  </si>
  <si>
    <t>Стержень Attomex Lancer для шариковых ручек, d=0,5 мм, 142 мм, синий арт.5075400</t>
  </si>
  <si>
    <t>4627093351305</t>
  </si>
  <si>
    <t>Стержень Montex  88мм Mint синий, с ушками арт.Ball refill син</t>
  </si>
  <si>
    <t>8901015290078</t>
  </si>
  <si>
    <t>Стержень Montex 103мм Regal синий, с ушками арт.Ball refill Regal син</t>
  </si>
  <si>
    <t>8901015290085</t>
  </si>
  <si>
    <t>Стержень Montex 113мм Jumbo Galaxy синий арт.Galaxy син</t>
  </si>
  <si>
    <t>8901015290092</t>
  </si>
  <si>
    <t>Стержень Montex 128 мм Tricon синий, без ушек арт.Mini tip 128 син</t>
  </si>
  <si>
    <t>8901015290108</t>
  </si>
  <si>
    <t>Стержень Montex 142мм игольчатый красный (18UP/Zoom/Dream), без ушек арт.Dream крас</t>
  </si>
  <si>
    <t>8901015290122</t>
  </si>
  <si>
    <t>Стержень Montex 142мм игольчатый синий (18UP/Zoom/Dream), без ушек арт.Dream син</t>
  </si>
  <si>
    <t>8901015290139</t>
  </si>
  <si>
    <t>Стержень Montex 142мм игольчатый черный (18UP/Zoom/Dream), без ушек арт.Dream черн</t>
  </si>
  <si>
    <t>8901015290146</t>
  </si>
  <si>
    <t>Стержень Montex D-1 107мм игольчатый красный в белой тубе, с ушками арт.D-1 Needle tip красн</t>
  </si>
  <si>
    <t>8901015290153</t>
  </si>
  <si>
    <t>Стержень Montex D-1 107мм игольчатый синий в белой тубе, с ушками арт.D-1 Needle tip син</t>
  </si>
  <si>
    <t>8901015290061</t>
  </si>
  <si>
    <t>Стержень Montex D-1 107мм игольчатый черный в белой тубе, с ушками арт.D-1 Needle tip черн</t>
  </si>
  <si>
    <t>8901015290160</t>
  </si>
  <si>
    <t xml:space="preserve">Стержень Montex D-1 107мм синий в белой тубе, с ушками арт.D-1 Pilot Tip </t>
  </si>
  <si>
    <t>8901015290184</t>
  </si>
  <si>
    <t>Стержень Montex D-1 113мм игольчатый синий, в прозр.тубе с ушками арт.D-1 Needle tip 113син</t>
  </si>
  <si>
    <t>8901015296322</t>
  </si>
  <si>
    <t>Стержень Montex D-1 113мм синий без ушек арт.D-1 Pilot Tip 113</t>
  </si>
  <si>
    <t>8901015290115</t>
  </si>
  <si>
    <t xml:space="preserve">Стержень STABILO 0800 для шарик. ручек, толщина линии 0,3мм, L-135мм, синий арт.0800XF1041 </t>
  </si>
  <si>
    <t>9556091117550</t>
  </si>
  <si>
    <t>Стержень STABILO 0800 для шарик. ручек, толщина линии 0,45мм, L-135мм, синий арт.0800M1041</t>
  </si>
  <si>
    <t>9556091820252</t>
  </si>
  <si>
    <t xml:space="preserve">Стержень STABILO 3180 для автомат.ручек marathon 318,толщ.лин. 0,45мм, L-106мм,синий арт.3180M541                       </t>
  </si>
  <si>
    <t>9556091131273</t>
  </si>
  <si>
    <t>Schneider</t>
  </si>
  <si>
    <t>Стержень Schneider для роллера "Topball 850" синий, 110мм, 0,7мм арт.8503</t>
  </si>
  <si>
    <t>4004675085030</t>
  </si>
  <si>
    <t>Стержень Schneider для роллера "Topball 850" черный, 110мм, 0,7мм арт.8501</t>
  </si>
  <si>
    <t>4004675085016</t>
  </si>
  <si>
    <t>Стержень deVENTE для шариковых ручек стираемых, d=1 мм, 98 мм, синий арт.5075701</t>
  </si>
  <si>
    <t>Стержень deVENTE для шариковых ручек, d=0,7 мм, 140 мм, синий арт.5075300</t>
  </si>
  <si>
    <t>4627079495566</t>
  </si>
  <si>
    <t>Стержень гелевый Berlingo 131мм/0,5 синий арт.CSg_51022</t>
  </si>
  <si>
    <t>4260107465782</t>
  </si>
  <si>
    <t>Стержень гелевый Berlingo 131мм/0,5 черный арт. CSg_51021</t>
  </si>
  <si>
    <t>4260107465799</t>
  </si>
  <si>
    <t>8803654003852</t>
  </si>
  <si>
    <t>Стержень гелевый Crown 138мм/0,7 фиолетовый арт.HJR-200H</t>
  </si>
  <si>
    <t>8803654002756</t>
  </si>
  <si>
    <t>Стержень гелевый ErichKrause "G-BASE" fine 129мм/0,5 черный арт.39008</t>
  </si>
  <si>
    <t>4041485390084</t>
  </si>
  <si>
    <t>Стержень гелевый ErichKrause "G-POINT" extra fine 129мм/0,38 синий арт.39009</t>
  </si>
  <si>
    <t>4041485390091</t>
  </si>
  <si>
    <t>Стержень гелевый ErichKrause "G-POINT" extra fine 129мм/0,38 черный арт.39010</t>
  </si>
  <si>
    <t>4041485390107</t>
  </si>
  <si>
    <t>Стержень гелевый deVENTE 0,5 мм зеленый, 130 мм арт. 5053703</t>
  </si>
  <si>
    <t>4627127736481</t>
  </si>
  <si>
    <t>Стержень гелевый deVENTE 0,5 мм синий, 130 мм арт. 5053700</t>
  </si>
  <si>
    <t>4627127736528</t>
  </si>
  <si>
    <t>Стержень гелевый deVENTE 0,5 мм черный, 130 мм арт. 5053701</t>
  </si>
  <si>
    <t>4627127736542</t>
  </si>
  <si>
    <t>Стержень д/авторучек синий 106.8мм/0.635мм арт.4404Е</t>
  </si>
  <si>
    <t>8593539619284</t>
  </si>
  <si>
    <t>Стержень д/авторучек синий 106.8мм/1мм арт.4401Е</t>
  </si>
  <si>
    <t>8593539600244</t>
  </si>
  <si>
    <t>Стержень д/авторучек синий 106.8мм/1мм арт.4406Е</t>
  </si>
  <si>
    <t>8593539619307</t>
  </si>
  <si>
    <t>Стержень д/авторучек синий 98мм/0.8мм мет. арт.4442Е</t>
  </si>
  <si>
    <t>8593539619321</t>
  </si>
  <si>
    <t>Стержень д/авторучек синий 98мм/0.8мм пластм. арт.4441Е</t>
  </si>
  <si>
    <t>8593539618546</t>
  </si>
  <si>
    <t>Стержень д/авторучек черный 98мм/0.8мм мет. арт.4442D</t>
  </si>
  <si>
    <t>Стержень д/авторучек черный 98мм/0.8мм пластм.  арт.4441D</t>
  </si>
  <si>
    <t>8593539600817</t>
  </si>
  <si>
    <t>Стержень шариковый ErichKrause "R-301" 140 мм красный арт.25542</t>
  </si>
  <si>
    <t>4041485884064</t>
  </si>
  <si>
    <t>Стержень шариковый ErichKrause "R-301" 140 мм синий арт.25540</t>
  </si>
  <si>
    <t>4041485884040</t>
  </si>
  <si>
    <t>Стержень шариковый ErichKrause "R-301" 140 мм черный арт.25541</t>
  </si>
  <si>
    <t>4041485884057</t>
  </si>
  <si>
    <t>Стержень шариковый ErichKrause "ULTRA" 140мм синий арт.21508</t>
  </si>
  <si>
    <t>4041485215080</t>
  </si>
  <si>
    <t>Стержни гелевые deVENTE "Пиши-стирай" набор 3 шт., d=0.7 мм, 111 мм, синие, арт. 5053704</t>
  </si>
  <si>
    <t>4627140006387</t>
  </si>
  <si>
    <t>Стержни для автоматич. каранд. 0,3 мм арт.4132/HB</t>
  </si>
  <si>
    <t>8593539005469</t>
  </si>
  <si>
    <t>Стержни для автоматич. каранд. 0,5 мм ErichKrause "MEGAPOLIS" набор 20 грифелей арт.20345</t>
  </si>
  <si>
    <t>4041485203452</t>
  </si>
  <si>
    <t>Стержни для автоматич. каранд. 0,5 мм арт.4152/2H</t>
  </si>
  <si>
    <t>8593539005520</t>
  </si>
  <si>
    <t>Стержни для автоматич. каранд. 0,5 мм арт.4152/2В</t>
  </si>
  <si>
    <t>8593539005476</t>
  </si>
  <si>
    <t>Стержни для автоматич. каранд. 0,5 мм арт.4152/B</t>
  </si>
  <si>
    <t>8593539005483</t>
  </si>
  <si>
    <t>Стержни для автоматич. каранд. 0,5 мм арт.4152/H</t>
  </si>
  <si>
    <t>8593539005513</t>
  </si>
  <si>
    <t>Стержни для автоматич. каранд. 0,5 мм арт.4152/HB</t>
  </si>
  <si>
    <t>8593539005490</t>
  </si>
  <si>
    <t>Стержни для автоматич. каранд. 0,7 мм арт.4162/2B</t>
  </si>
  <si>
    <t>8593539228240</t>
  </si>
  <si>
    <t>Стержни для автоматич. каранд. 0,7 мм арт.4162/H</t>
  </si>
  <si>
    <t>8593539005599</t>
  </si>
  <si>
    <t>Стержни для автоматич. каранд. 0,7 мм арт.4162/В</t>
  </si>
  <si>
    <t>8593539005568</t>
  </si>
  <si>
    <t>Стержни для автоматич. каранд. 0,7 мм арт.4162/НВ</t>
  </si>
  <si>
    <t>8593539005575</t>
  </si>
  <si>
    <t>Стержни для автоматич. каранд. 0,9 мм арт.4172/НВ</t>
  </si>
  <si>
    <t>8593539005636</t>
  </si>
  <si>
    <t>Стержни для цанговых каранд. 2,0 мм ErichKrause "DRAFT" набор 5 грифелей (HB) арт.29303</t>
  </si>
  <si>
    <t>4041485293033</t>
  </si>
  <si>
    <t>Стержни для цанговых каранд. 2,0 мм арт.4190/НВ</t>
  </si>
  <si>
    <t>8593539005100</t>
  </si>
  <si>
    <t>Стержни для цанговых карандашей 2В, 5,6мм/120мм (графит), 6 шт набор арт. 4865/2В</t>
  </si>
  <si>
    <t>8593539129578</t>
  </si>
  <si>
    <t>Стержни для циркулей KOH-I-NOOR 2,0мм, длина 19,0мм 10шт./набор арт.4872002001</t>
  </si>
  <si>
    <t>8593539004455</t>
  </si>
  <si>
    <t>Стержни для циркулей, набор 2шт/блистер 5 шт. в контейнере арт.31539</t>
  </si>
  <si>
    <t>4041485315391</t>
  </si>
  <si>
    <t>Стирательная губка для офисных досок 107*57 мм ErichKrause, с магнитом арт.44807</t>
  </si>
  <si>
    <t>4041485448075</t>
  </si>
  <si>
    <t>Стирательная губка для офисных досок Attomex, в блистерном пакете, без магнита, арт. 6022301</t>
  </si>
  <si>
    <t>4627079490585</t>
  </si>
  <si>
    <t>Тетрадь 48л в клетку "The Champions" арт.45127</t>
  </si>
  <si>
    <t>4601921451276</t>
  </si>
  <si>
    <t>Тетрадь 48л в клетку "Краски природы" арт.46657</t>
  </si>
  <si>
    <t>4601921466577</t>
  </si>
  <si>
    <t>Тетрадь 48л в клетку ArtSpace "Питомцы. Bright friends" арт.Т48к_24372</t>
  </si>
  <si>
    <t>4680211223724</t>
  </si>
  <si>
    <t>Тетрадь 48л в клетку ArtSpace "Питомцы. The pets" арт.Т48к_24452</t>
  </si>
  <si>
    <t>4680211224523</t>
  </si>
  <si>
    <t>Тетрадь 48л в клетку ArtSpace "Путешествия. Capture the moment", матовая ламинация арт.Т48кМл_24420</t>
  </si>
  <si>
    <t>4680211224202</t>
  </si>
  <si>
    <t>Тетрадь 48л в клетку ArtSpace "Путешествия. Прогулка вокруг света", ВД-лак арт.Т48кС_18822</t>
  </si>
  <si>
    <t>4680211168223</t>
  </si>
  <si>
    <t>Тетрадь 48л в клетку ArtSpace "Стиль. Beautiful moments" арт.Т48к_24342</t>
  </si>
  <si>
    <t>4680211223427</t>
  </si>
  <si>
    <t>Тетрадь 48л в клетку ArtSpace "Стиль. Bright life" арт.Т48к_24378</t>
  </si>
  <si>
    <t>4680211223786</t>
  </si>
  <si>
    <t>Тетрадь 48л в клетку ArtSpace "Стиль. Light moments" арт.Т48к_24376</t>
  </si>
  <si>
    <t>4680211223762</t>
  </si>
  <si>
    <t>4680211224004</t>
  </si>
  <si>
    <t>Тетрадь 48л в клетку ArtSpace ЭКОНОМ "Путешествия. The most wonderful time" арт.Т48кЭ_24442</t>
  </si>
  <si>
    <t>4680211224424</t>
  </si>
  <si>
    <t>Тетрадь 48л в клетку ArtSpace ЭКОНОМ "Стиль. Creative collage" арт.Т48кЭ_24448</t>
  </si>
  <si>
    <t>4680211224486</t>
  </si>
  <si>
    <t>Тетрадь 48л в клетку ArtSpace ЭКОНОМ "Узоры. Watercolor pattern" арт.Т48кЭ_24444</t>
  </si>
  <si>
    <t>4680211224448</t>
  </si>
  <si>
    <t>Тетрадь 48л в клетку бумвинил (170*205) арт.с279</t>
  </si>
  <si>
    <t>4810431004319</t>
  </si>
  <si>
    <t>Тетрадь 48л в клетку предметная "К доске! Английский язык" арт.43594</t>
  </si>
  <si>
    <t>4601921435948</t>
  </si>
  <si>
    <t>Тетрадь 48л в линейку ArtSpace "Микс. Стандарт" арт.Т48л_16519</t>
  </si>
  <si>
    <t>4680211145194</t>
  </si>
  <si>
    <t>Тетрадь 60л в клетку ArtSpace "Офис. Яркие краски", ВД-лак арт.Т60к_20938</t>
  </si>
  <si>
    <t>4680211189389</t>
  </si>
  <si>
    <t>Тетрадь 96л в клетку "Provence lavender" арт.40097</t>
  </si>
  <si>
    <t>4601921400977</t>
  </si>
  <si>
    <t>Тетрадь 96л в клетку ArtSpace "Питомцы. Очаровашки", ВД-лак арт.Т96к_21000</t>
  </si>
  <si>
    <t>4680211190002</t>
  </si>
  <si>
    <t>Тетрадь 96л в клетку ArtSpace "Путешествия. Приключения рядом", ВД-лак арт.Т96к_20974</t>
  </si>
  <si>
    <t>4680211189747</t>
  </si>
  <si>
    <t>4680211216047</t>
  </si>
  <si>
    <t>4680211216061</t>
  </si>
  <si>
    <t>Тетрадь 96л в клетку бумвинил (170*205) арт.с277</t>
  </si>
  <si>
    <t>4810431004296</t>
  </si>
  <si>
    <t>Тетрадь А4 120л в клетку "Neon", глянцевая ламинация, на спирали, структурное тиснение "лён" арт.45178</t>
  </si>
  <si>
    <t>4601921451788</t>
  </si>
  <si>
    <t>Тетрадь А4 48л в клетку ArtSpace "Моноколор. Color design" арт.Т48А4к_13751</t>
  </si>
  <si>
    <t>4680211117511</t>
  </si>
  <si>
    <t>Тетрадь А4 48л в клетку ArtSpace "Путешествия. Sky landscape", глянцевый уф-лак арт.Т48А4кГЛ_21078</t>
  </si>
  <si>
    <t>4680211190781</t>
  </si>
  <si>
    <t>4601921435405</t>
  </si>
  <si>
    <t>4680211117634</t>
  </si>
  <si>
    <t>4627102054104</t>
  </si>
  <si>
    <t>4627102054098</t>
  </si>
  <si>
    <t>Тетрадь А4 80л на спирали "GLANCE VIVID", пластик. обложка, в клетку, на резинке арт.43543</t>
  </si>
  <si>
    <t>4601921435436</t>
  </si>
  <si>
    <t>Тетрадь А4 96л в клетку ArtSpace "Моноколор. Office style" арт.Т96А4к_13759</t>
  </si>
  <si>
    <t>4680211117597</t>
  </si>
  <si>
    <t>Тетрадь А4 96л в клетку ArtSpace "Стиль. Выбери свой цвет", глянцевый уф-лак арт.Т96А4кГЛ_21116</t>
  </si>
  <si>
    <t>4680211191160</t>
  </si>
  <si>
    <t>Тетрадь А4 96л в клетку ArtSpace "Стиль. Модные артефакты" арт.Т96А4к_12128</t>
  </si>
  <si>
    <t>4680211101282</t>
  </si>
  <si>
    <t>Тетрадь А4 96л в клетку ArtSpace "Яркое вдохновение", глянцевый уф-лак арт.Т96А4кГЛ_21114</t>
  </si>
  <si>
    <t>4680211191146</t>
  </si>
  <si>
    <t>4810431008478</t>
  </si>
  <si>
    <t>Тетрадь А4 96л в клетку, жесткий ламинат ArtSpace "Моноколор. Яркие цвета", на спирали арт.Тт4к96гр_16429</t>
  </si>
  <si>
    <t>4680211144296</t>
  </si>
  <si>
    <t>Тетрадь А5 120л в клетку "Neon" на спирали, жесткий ламинат (глянцевый), структурное тиснение "лён" арт.45176</t>
  </si>
  <si>
    <t>4601921451764</t>
  </si>
  <si>
    <t>Тетрадь А5 120л в клетку "Матрица" на спирали, жесткий ламинат (глянцевый) арт.42699</t>
  </si>
  <si>
    <t>4601921426991</t>
  </si>
  <si>
    <t>Тетрадь А5 120л на кольцах ArtSpace "Путешествия. Sky landscape", 7БЦ, 1 сменный блок, глянц. ламинация арт.ТК120_20353</t>
  </si>
  <si>
    <t>4680211183530</t>
  </si>
  <si>
    <t>Тетрадь А5 120л на кольцах ArtSpace "Стиль. Hygge things", 7БЦ, 1 сменный блок, глянц. ламинация арт.ТК120_20356</t>
  </si>
  <si>
    <t>4680211183561</t>
  </si>
  <si>
    <t>Тетрадь А5 240л на кольцах ArtSpace "Стиль. More weekend", 7БЦ,  4 разд., глянц. ламинация, сменный блок арт.ТК240_20361</t>
  </si>
  <si>
    <t>4680211183615</t>
  </si>
  <si>
    <t>Тетрадь А5 48л в клетку, для записи иностранных слов "Hello" арт.42960</t>
  </si>
  <si>
    <t>4601921429602</t>
  </si>
  <si>
    <t>Тетрадь А5 48л в линейку, для записи иностранных слов "Hello" арт.43333</t>
  </si>
  <si>
    <t>4601921433333</t>
  </si>
  <si>
    <t>Тетрадь А5 60л с бок. спир. "Yellow Block", желт. внутренний блок, в клетку арт.20355</t>
  </si>
  <si>
    <t>4601921203554</t>
  </si>
  <si>
    <t>4601921435375</t>
  </si>
  <si>
    <t>4601921435443</t>
  </si>
  <si>
    <t>Тетрадь А5+ 60л на спирали "GLANCE NEON", пластик. обложка, в клетку арт.43532</t>
  </si>
  <si>
    <t>4601921435320</t>
  </si>
  <si>
    <t>Тетрадь А5+ 60л на спирали "GLANCE VIVID", пластик. обложка, в клетку арт.43539</t>
  </si>
  <si>
    <t>4601921435399</t>
  </si>
  <si>
    <t>Тетрадь А5+ 80л на спирали "Arlecchino", пластик. обложка, на резинке, в клетку арт.45969</t>
  </si>
  <si>
    <t>4601921459692</t>
  </si>
  <si>
    <t>Тетрадь А6 60л на спирали "GLANCE VIVID", пластик. обложка, в клетку арт.43538</t>
  </si>
  <si>
    <t>4601921435382</t>
  </si>
  <si>
    <t>Тетрадь А6 60л на спирали "Lines", пластик. обложка, в клетку арт.45957</t>
  </si>
  <si>
    <t>4601921459579</t>
  </si>
  <si>
    <t>Точилка Adel "Emoji" пластиковая, 2 отверстия, с контейнером, арт. 2260000003</t>
  </si>
  <si>
    <t>8681241054049</t>
  </si>
  <si>
    <t>Точилка Attomex пластмассовая, прямоугольная, 1 отверстие, арт.4071300</t>
  </si>
  <si>
    <t>4627077803516</t>
  </si>
  <si>
    <t>Точилка KOH-I-NOOR  дер. 2 отверстия D7,5+D10мм арт.9095OZ-033KK</t>
  </si>
  <si>
    <t>8593539115441</t>
  </si>
  <si>
    <t>Точилка deVENTE  механическая, 7х11х10 см, 1 отверстие, в пласт. коробке, красная, арт. 4071316</t>
  </si>
  <si>
    <t>4627113200354</t>
  </si>
  <si>
    <t>Точилка deVENTE "Elephant" пластмассовая, 1 отверстие с контейнером, арт. 8031801</t>
  </si>
  <si>
    <t>4627149621154</t>
  </si>
  <si>
    <t>Точилка deVENTE "Zoo" пластмассовая, 1 отверстие, арт. 8031802</t>
  </si>
  <si>
    <t>4627149621178</t>
  </si>
  <si>
    <t>Точилка deVENTE пластмассовая, 1 отверстие, с каучуковыми вставками, в пластиковой тубе, арт. 4071602</t>
  </si>
  <si>
    <t>4627109704859</t>
  </si>
  <si>
    <t>Точилка deVENTE пластмассовая, 1 отверстие, с контейнером, в картонном дисплее арт.4071603</t>
  </si>
  <si>
    <t>4627113202754</t>
  </si>
  <si>
    <t>Точилка deVENTE пластмассовая, круглая, 1 отверстие, арт.4071501</t>
  </si>
  <si>
    <t>4627102056610</t>
  </si>
  <si>
    <t>Точилка deVENTE пластмассовая, круглая, 1 отверстие, с контейнером, цвета ассорти арт.4071308</t>
  </si>
  <si>
    <t>4627077803677</t>
  </si>
  <si>
    <t>Точилка алюминиевая ErichKrause "FERRO COLOR" на одно отверстие арт.38014</t>
  </si>
  <si>
    <t>4041485380146</t>
  </si>
  <si>
    <t>Точилка алюминиевая ErichKrause "FERRO PLUS" на два отверстия арт.7075</t>
  </si>
  <si>
    <t>4041485823001</t>
  </si>
  <si>
    <t>Точилка алюминиевая deVENTE на два отверстия, карт.кор арт.4071305</t>
  </si>
  <si>
    <t>4627077803622</t>
  </si>
  <si>
    <t>Точилка алюминиевая deVENTE на одно отверстие, карт.кор арт.4071304</t>
  </si>
  <si>
    <t>4627077803608</t>
  </si>
  <si>
    <t>Точилка механическая ErichKrause арт.6798</t>
  </si>
  <si>
    <t>4041485067986</t>
  </si>
  <si>
    <t>Точилка пластиковая Berlingo на одно отверстие, с контейнером арт.BBp_10039</t>
  </si>
  <si>
    <t>4260107465942</t>
  </si>
  <si>
    <t>Точилка пластиковая ErichKrause на два отверстия "DUO" с контейнером арт.33616</t>
  </si>
  <si>
    <t>4041485923619</t>
  </si>
  <si>
    <t>Точилка пластиковая ErichKrause на два отверстия "MULTI", ассорти арт.38575</t>
  </si>
  <si>
    <t>4041485955016</t>
  </si>
  <si>
    <t>Точилка пластиковая ErichKrause на одно отверстие "JOY" арт.21825</t>
  </si>
  <si>
    <t>4041485868569</t>
  </si>
  <si>
    <t>Точилка пластиковая ErichKrause на одно отверстие "S-TWIST" арт.33613</t>
  </si>
  <si>
    <t>4041485336136</t>
  </si>
  <si>
    <t>Точилка пластиковая ErichKrause на одно отверстие "SMART&amp;SHARP" с контейнером арт.21833</t>
  </si>
  <si>
    <t>4041485868644</t>
  </si>
  <si>
    <t>Точилка пластиковая ErichKrause на одно отверстие "UNITY NEON" арт.38013</t>
  </si>
  <si>
    <t>4041485380139</t>
  </si>
  <si>
    <t>Точилка пластиковая ErichKrause на одно отверстие "UNITY" арт.38012</t>
  </si>
  <si>
    <t>4041485380122</t>
  </si>
  <si>
    <t>Точилка пластиковая ErichKrause на одно отверстие "UNIVERSE", с контейнером арт.21828</t>
  </si>
  <si>
    <t>4041485868590</t>
  </si>
  <si>
    <t>Точилка электрическая для карандашей deVENTE 8,5х3,2х6,2 см (на батарейках), 1 отверстие, автостоп, арт. 4071723</t>
  </si>
  <si>
    <t>4627140007346</t>
  </si>
  <si>
    <t>Тушь жидкая OfficeSpace, черная, 70мл арт.ТУч_6386</t>
  </si>
  <si>
    <t>4680211043865</t>
  </si>
  <si>
    <t>Увелич. стекло (лупа) с десятикратным увеличением "deVENTE" диам.40мм, картон. блистер арт.4080300</t>
  </si>
  <si>
    <t>4627079490387</t>
  </si>
  <si>
    <t>Увелич. стекло (лупа) с пятикратным увеличением "Attomex" диам.80мм, картон. блистер арт.4080301</t>
  </si>
  <si>
    <t>4627079490400</t>
  </si>
  <si>
    <t>Увелич. стекло (лупа) с пятикратным увеличением "deVENTE" диам.65мм, складная, 65х103 мм, картон. блистер арт.4080702</t>
  </si>
  <si>
    <t>4627135526845</t>
  </si>
  <si>
    <t>Файл-регистратор А4 на 2 кольцах ErichKrause ENIGMA, ламинированный арт.38214</t>
  </si>
  <si>
    <t>4601921382143</t>
  </si>
  <si>
    <t>Файл-регистратор А4 на 2 кольцах ErichKrause FIESTA, ламинированный арт.39046</t>
  </si>
  <si>
    <t>4601921390469</t>
  </si>
  <si>
    <t>Файл-регистратор А4 на 2 кольцах ErichKrause NEON, ламинированный, голубой арт.39056</t>
  </si>
  <si>
    <t>4601921390568</t>
  </si>
  <si>
    <t>Файл-регистратор А4 на 2 кольцах ErichKrause NEON, ламинированный, желтый арт.39058</t>
  </si>
  <si>
    <t>4601921390582</t>
  </si>
  <si>
    <t>Файл-регистратор А4 на 2 кольцах ErichKrause NEON, ламинированный, зеленый арт.39057</t>
  </si>
  <si>
    <t>4601921390575</t>
  </si>
  <si>
    <t>Файл-регистратор А4 на 2 кольцах ErichKrause NEON, ламинированный, розовый арт.39059</t>
  </si>
  <si>
    <t>4601921390599</t>
  </si>
  <si>
    <t>Файл-регистратор А4 на 2 кольцах ErichKrause WORK INSIDE, ламинированный, синий  арт.19869</t>
  </si>
  <si>
    <t>4601921198690</t>
  </si>
  <si>
    <t>Файл-регистратор А4 на 2 кольцах ErichKrause WORK INSIDE, ламинированный, черный  арт.19868</t>
  </si>
  <si>
    <t>4601921198683</t>
  </si>
  <si>
    <t>Файл-регистратор А4 на 4 кольцах ErichKrause WORK INSIDE, ламинированный, бордовый  арт.19875</t>
  </si>
  <si>
    <t>4601921198751</t>
  </si>
  <si>
    <t>Файл-регистратор А4 на 4 кольцах ErichKrause WORK INSIDE, ламинированный, черный  арт.19872</t>
  </si>
  <si>
    <t>4601921198720</t>
  </si>
  <si>
    <t>Файл-регистратор А4/50мм Attomex ПВХ, бирюзовый арт.3093809</t>
  </si>
  <si>
    <t>4627154333042</t>
  </si>
  <si>
    <t>Файл-регистратор А4/50мм Attomex ПВХ, желтый арт.3093805</t>
  </si>
  <si>
    <t>4627154333004</t>
  </si>
  <si>
    <t>Файл-регистратор А4/50мм Attomex ПВХ, зеленый арт.3093706</t>
  </si>
  <si>
    <t>4627135524308</t>
  </si>
  <si>
    <t>Файл-регистратор А4/50мм Attomex ПВХ, красный арт.3093704</t>
  </si>
  <si>
    <t>4627135524315</t>
  </si>
  <si>
    <t>Файл-регистратор А4/50мм Attomex ПВХ, синий, арт.3093702</t>
  </si>
  <si>
    <t>4627135524322</t>
  </si>
  <si>
    <t>Файл-регистратор А4/50мм Attomex ПВХ, сиреневый арт.3093810</t>
  </si>
  <si>
    <t>4627154333066</t>
  </si>
  <si>
    <t>Файл-регистратор А4/50мм Attomex ПВХ, черный, арт.3093700</t>
  </si>
  <si>
    <t>4627135524339</t>
  </si>
  <si>
    <t>Файл-регистратор А4/50мм Attomex мрамор., зеленый арт.3090704</t>
  </si>
  <si>
    <t>4627135524346</t>
  </si>
  <si>
    <t>Файл-регистратор А4/50мм Attomex мрамор., красный арт.3090702</t>
  </si>
  <si>
    <t>4627135524353</t>
  </si>
  <si>
    <t>Файл-регистратор А4/50мм Attomex мрамор., синий  арт.3090700</t>
  </si>
  <si>
    <t>4627135524360</t>
  </si>
  <si>
    <t>Файл-регистратор А4/50мм Attomex мрамор., черный  арт.3090404</t>
  </si>
  <si>
    <t>4627093354467</t>
  </si>
  <si>
    <t>Файл-регистратор А4/50мм ErichKrause BASIC мрамор., серый арт.70</t>
  </si>
  <si>
    <t>4601921000702</t>
  </si>
  <si>
    <t>Файл-регистратор А4/50мм ErichKrause ECONOMY мрамор., серый арт.33111</t>
  </si>
  <si>
    <t>4601921331110</t>
  </si>
  <si>
    <t>Файл-регистратор А4/50мм ErichKrause Granite зеленый арт.43514</t>
  </si>
  <si>
    <t>4601921435146</t>
  </si>
  <si>
    <t>Файл-регистратор А4/50мм ErichKrause Granite красный арт.43513</t>
  </si>
  <si>
    <t>4601921435139</t>
  </si>
  <si>
    <t>Файл-регистратор А4/50мм ErichKrause Granite серый арт.43515</t>
  </si>
  <si>
    <t>4601921435153</t>
  </si>
  <si>
    <t>Файл-регистратор А4/50мм ErichKrause Granite синий арт.43512</t>
  </si>
  <si>
    <t>4601921435122</t>
  </si>
  <si>
    <t>Файл-регистратор А4/50мм ErichKrause Granite черный арт.43511</t>
  </si>
  <si>
    <t>4601921435115</t>
  </si>
  <si>
    <t>Файл-регистратор А4/50мм ErichKrause Neon голубой арт.45392</t>
  </si>
  <si>
    <t>4601921453928</t>
  </si>
  <si>
    <t>Файл-регистратор А4/50мм ErichKrause Neon желтый арт.45394</t>
  </si>
  <si>
    <t>4601921453942</t>
  </si>
  <si>
    <t>Файл-регистратор А4/50мм ErichKrause ORIGINAL мрамор., зеленый арт.21990</t>
  </si>
  <si>
    <t>4601921219906</t>
  </si>
  <si>
    <t>Файл-регистратор А4/50мм ErichKrause ORIGINAL мрамор., синий арт.414</t>
  </si>
  <si>
    <t>4601921004144</t>
  </si>
  <si>
    <t>Файл-регистратор А4/50мм ErichKrause Standard бирюзовый арт.298</t>
  </si>
  <si>
    <t>4601921002980</t>
  </si>
  <si>
    <t>Файл-регистратор А4/50мм ErichKrause Standard бордовый арт.293</t>
  </si>
  <si>
    <t>4601921002935</t>
  </si>
  <si>
    <t>Файл-регистратор А4/50мм ErichKrause Standard желтый арт.284</t>
  </si>
  <si>
    <t>4601921002843</t>
  </si>
  <si>
    <t>Файл-регистратор А4/50мм ErichKrause Standard зеленый арт.275</t>
  </si>
  <si>
    <t>4601921002751</t>
  </si>
  <si>
    <t>Файл-регистратор А4/50мм ErichKrause Standard красный арт.281</t>
  </si>
  <si>
    <t>4601921002812</t>
  </si>
  <si>
    <t>Файл-регистратор А4/50мм ErichKrause Standard серый арт.287</t>
  </si>
  <si>
    <t>4601921002874</t>
  </si>
  <si>
    <t>Файл-регистратор А4/50мм ErichKrause Standard синий арт.273</t>
  </si>
  <si>
    <t>4601921002737</t>
  </si>
  <si>
    <t>Файл-регистратор А4/50мм ErichKrause Standard черный арт.257</t>
  </si>
  <si>
    <t>4601921002577</t>
  </si>
  <si>
    <t>Файл-регистратор А4/50мм ErichKrause БИЗНЕС бордовый арт.211</t>
  </si>
  <si>
    <t>4601921002119</t>
  </si>
  <si>
    <t>Файл-регистратор А4/50мм ErichKrause БИЗНЕС зеленый арт.206</t>
  </si>
  <si>
    <t>4601921002065</t>
  </si>
  <si>
    <t>Файл-регистратор А4/50мм ErichKrause БИЗНЕС синий арт.196</t>
  </si>
  <si>
    <t>4601921001969</t>
  </si>
  <si>
    <t>Файл-регистратор А4/50мм ПВХ "ЭКО" бирюзовый Es. арт.81175</t>
  </si>
  <si>
    <t>5902812811759</t>
  </si>
  <si>
    <t>Файл-регистратор А4/50мм ПВХ "ЭКО" фиолетовый Es. арт.81174</t>
  </si>
  <si>
    <t>5902812811742</t>
  </si>
  <si>
    <t>Файл-регистратор А4/70мм ErichKrause BASIC мрамор., серый арт.71</t>
  </si>
  <si>
    <t>4601921000719</t>
  </si>
  <si>
    <t>Файл-регистратор А4/70мм ErichKrause ECONOMY мрамор., серый арт.33112</t>
  </si>
  <si>
    <t>4601921331127</t>
  </si>
  <si>
    <t>Файл-регистратор А4/70мм ErichKrause Granite зеленый арт.43519</t>
  </si>
  <si>
    <t>4601921435191</t>
  </si>
  <si>
    <t>Файл-регистратор А4/70мм ErichKrause Granite красный арт.43518</t>
  </si>
  <si>
    <t>4601921435184</t>
  </si>
  <si>
    <t>Файл-регистратор А4/70мм ErichKrause Granite серый арт.43520</t>
  </si>
  <si>
    <t>4601921435207</t>
  </si>
  <si>
    <t>Файл-регистратор А4/70мм ErichKrause Granite синий арт.43517</t>
  </si>
  <si>
    <t>4601921435177</t>
  </si>
  <si>
    <t>Файл-регистратор А4/70мм ErichKrause Granite черный арт.43516</t>
  </si>
  <si>
    <t>4601921435160</t>
  </si>
  <si>
    <t>Файл-регистратор А4/70мм ErichKrause Neon желтый арт.45398</t>
  </si>
  <si>
    <t>4601921453980</t>
  </si>
  <si>
    <t>Файл-регистратор А4/70мм ErichKrause Neon зеленый арт.45397</t>
  </si>
  <si>
    <t>4601921453973</t>
  </si>
  <si>
    <t>Файл-регистратор А4/70мм ErichKrause ORIGINAL мрамор., зеленый арт.21991</t>
  </si>
  <si>
    <t>4601921219913</t>
  </si>
  <si>
    <t>Файл-регистратор А4/70мм ErichKrause ORIGINAL мрамор., красный арт.410</t>
  </si>
  <si>
    <t>4601921004106</t>
  </si>
  <si>
    <t>Файл-регистратор А4/70мм ErichKrause ORIGINAL мрамор., синий арт.408</t>
  </si>
  <si>
    <t>4601921004083</t>
  </si>
  <si>
    <t>Файл-регистратор А4/70мм ErichKrause ORIGINAL мрамор., черный арт.4672</t>
  </si>
  <si>
    <t>4601921046724</t>
  </si>
  <si>
    <t>Файл-регистратор А4/70мм ErichKrause Standard бирюзовый арт.299</t>
  </si>
  <si>
    <t>4601921002997</t>
  </si>
  <si>
    <t>Файл-регистратор А4/70мм ErichKrause Standard бордовый арт.291</t>
  </si>
  <si>
    <t>4601921002911</t>
  </si>
  <si>
    <t>Файл-регистратор А4/70мм ErichKrause Standard желтый арт.285</t>
  </si>
  <si>
    <t>4601921002850</t>
  </si>
  <si>
    <t>Файл-регистратор А4/70мм ErichKrause Standard зеленый арт.277</t>
  </si>
  <si>
    <t>4601921002775</t>
  </si>
  <si>
    <t>Файл-регистратор А4/70мм ErichKrause Standard красный арт.280</t>
  </si>
  <si>
    <t>4601921002805</t>
  </si>
  <si>
    <t>Файл-регистратор А4/70мм ErichKrause Standard серый арт.286</t>
  </si>
  <si>
    <t>4601921002867</t>
  </si>
  <si>
    <t>Файл-регистратор А4/70мм ErichKrause Standard синий арт.271</t>
  </si>
  <si>
    <t>4601921002713</t>
  </si>
  <si>
    <t>Файл-регистратор А4/70мм ErichKrause Standard черный арт.269</t>
  </si>
  <si>
    <t>4601921002690</t>
  </si>
  <si>
    <t>Файл-регистратор А4/70мм ErichKrause БИЗНЕС бордовый арт.212</t>
  </si>
  <si>
    <t>4601921002126</t>
  </si>
  <si>
    <t>Файл-регистратор А4/70мм ErichKrause БИЗНЕС зеленый арт.208</t>
  </si>
  <si>
    <t>4601921002089</t>
  </si>
  <si>
    <t>Файл-регистратор А4/70мм ErichKrause БИЗНЕС красный арт.13618</t>
  </si>
  <si>
    <t>4601921136180</t>
  </si>
  <si>
    <t>Файл-регистратор А4/70мм ErichKrause БИЗНЕС синий арт.198</t>
  </si>
  <si>
    <t>4601921001983</t>
  </si>
  <si>
    <t>Файл-регистратор А4/70мм ErichKrause БИЗНЕС черный арт.202</t>
  </si>
  <si>
    <t>4601921002027</t>
  </si>
  <si>
    <t>Файл-регистратор А4/75мм Attomex ПВХ, бирюзовый арт.3093815</t>
  </si>
  <si>
    <t>4627154333127</t>
  </si>
  <si>
    <t>Файл-регистратор А4/75мм Attomex ПВХ, желтый арт.3093813</t>
  </si>
  <si>
    <t>4627154333080</t>
  </si>
  <si>
    <t>Файл-регистратор А4/75мм Attomex ПВХ, зеленый арт.3093707</t>
  </si>
  <si>
    <t>4627135524377</t>
  </si>
  <si>
    <t>Файл-регистратор А4/75мм Attomex ПВХ, оранжевый арт.3093814</t>
  </si>
  <si>
    <t>4627154333103</t>
  </si>
  <si>
    <t>Файл-регистратор А4/75мм Attomex ПВХ, синий арт.3093703</t>
  </si>
  <si>
    <t>4627135524391</t>
  </si>
  <si>
    <t>Файл-регистратор А4/75мм Attomex ПВХ, сиреневый арт.3093816</t>
  </si>
  <si>
    <t>4627154333141</t>
  </si>
  <si>
    <t>Файл-регистратор А4/75мм Attomex ПВХ, черный арт.3093701</t>
  </si>
  <si>
    <t>4627135524407</t>
  </si>
  <si>
    <t>Файл-регистратор А4/75мм Attomex мрамор., зеленый арт.3090705</t>
  </si>
  <si>
    <t>4627135524414</t>
  </si>
  <si>
    <t>Файл-регистратор А4/75мм Attomex мрамор., синий арт.3090701</t>
  </si>
  <si>
    <t>4627135524438</t>
  </si>
  <si>
    <t>Файл-регистратор А5/70мм ErichKrause BASIC мрамор., серый арт.36097</t>
  </si>
  <si>
    <t>4601921360974</t>
  </si>
  <si>
    <t>Фотобумага А4 универсальная глянцевая одностор. Lomond,200 г/м2 по 25л, для струйной печати арт.0102046</t>
  </si>
  <si>
    <t>4607003956189</t>
  </si>
  <si>
    <t>Фотобумага А4 универсальная глянцевая одностор. Lomond,200 г/м2 по 50л, для струйной печати арт.0102020</t>
  </si>
  <si>
    <t>4607003953102</t>
  </si>
  <si>
    <t>Фотобумага А4 универсальная матовая одностор. Lomond,180 г/м2 по 25л, для струйной печати арт.0102037</t>
  </si>
  <si>
    <t>4607008183566</t>
  </si>
  <si>
    <t>Фотобумага А4 универсальная матовая одностор. Lomond,230г/м2 по 50л, для струйной печати арт.0102016</t>
  </si>
  <si>
    <t>4607003955069</t>
  </si>
  <si>
    <t>Фотобумага А6 (10*15) универсальная глянцевая одностор. Lomond,230г/м2 по 50л, для струйной печати арт.0102035</t>
  </si>
  <si>
    <t>4607003954444</t>
  </si>
  <si>
    <t>Фотобумага А6 (10*15) универсальная матовая одностор. Lomond,230г/м2 по 50л, для струйной печати арт.0102034</t>
  </si>
  <si>
    <t>4607003954451</t>
  </si>
  <si>
    <t>Фоторамка Office Space деревянная, 10*15см, цвет красное дерево арт.РД_598</t>
  </si>
  <si>
    <t>4610008525984</t>
  </si>
  <si>
    <t>Фоторамка Office Space деревянная, 10*15см, цвет мокко арт.РД_410</t>
  </si>
  <si>
    <t>4610008524109</t>
  </si>
  <si>
    <t>Фоторамка Office Space деревянная, 10*15см, цвет янтарь арт.РД_6314</t>
  </si>
  <si>
    <t>4680211043148</t>
  </si>
  <si>
    <t>Фоторамка Office Space деревянная, 13*18см, цвет мокко арт.РД_411</t>
  </si>
  <si>
    <t>4610008528411</t>
  </si>
  <si>
    <t>Фоторамка Office Space деревянная, 15*21см, цвет красное дерево арт.РД_599</t>
  </si>
  <si>
    <t>4610008525991</t>
  </si>
  <si>
    <t>Фоторамка Office Space деревянная, 15*21см, цвет мокко арт.РД_412</t>
  </si>
  <si>
    <t>4610008524123</t>
  </si>
  <si>
    <t>Фоторамка Office Space деревянная, 15*21см, цвет янтарь арт.РД_6316</t>
  </si>
  <si>
    <t>4680211043162</t>
  </si>
  <si>
    <t>Фоторамка Office Space деревянная, 18*24см, цвет мокко арт.РД_413</t>
  </si>
  <si>
    <t>4610008524130</t>
  </si>
  <si>
    <t>Фоторамка Office Space деревянная, 21*30см, цвет венге черный арт.РД_9310</t>
  </si>
  <si>
    <t>4680211073107</t>
  </si>
  <si>
    <t>Фоторамка Office Space деревянная, 21*30см, цвет красное дерево арт.РД_600</t>
  </si>
  <si>
    <t>4610008526004</t>
  </si>
  <si>
    <t>Фоторамка Office Space деревянная, 21*30см, цвет красное дерево, акрил. небьющееся стекло арт.236294</t>
  </si>
  <si>
    <t>4680211084356</t>
  </si>
  <si>
    <t>Фоторамка Office Space деревянная, 21*30см, цвет мокко арт.РД_414</t>
  </si>
  <si>
    <t>4610008524147</t>
  </si>
  <si>
    <t>Фоторамка Office Space деревянная, 21*30см, цвет мокко, акрил. небьющееся стекло арт.236293</t>
  </si>
  <si>
    <t>4680211084349</t>
  </si>
  <si>
    <t>Фоторамка Office Space деревянная, 21*30см, цвет янтарь арт.РД_6315</t>
  </si>
  <si>
    <t>4680211043155</t>
  </si>
  <si>
    <t>Фоторамка Office Space деревянная, 21*30см, цвет янтарь,акрил. небьющееся стекло арт.236295</t>
  </si>
  <si>
    <t>4680211084363</t>
  </si>
  <si>
    <t>Фоторамка Office Space деревянная, 24*30см, цвет мокко арт.РД_415</t>
  </si>
  <si>
    <t>4610008524154</t>
  </si>
  <si>
    <t>Фоторамка Office Space деревянная, 25*35см, цвет мокко арт.РД_416</t>
  </si>
  <si>
    <t>4610008524161</t>
  </si>
  <si>
    <t>Фоторамка Office Space деревянная, 30*40см, цвет красное дерево арт.РД_601</t>
  </si>
  <si>
    <t>4610008526011</t>
  </si>
  <si>
    <t>Фоторамка Office Space деревянная, 30*40см, цвет мокко арт.РД_417</t>
  </si>
  <si>
    <t>4610008524178</t>
  </si>
  <si>
    <t>Фоторамка Office Space деревянная, 30*40см, цвет янтарь арт.РД_6317</t>
  </si>
  <si>
    <t>4680211043179</t>
  </si>
  <si>
    <t>Фоторамка Office Space деревянная, 35*45см, цвет мокко арт.РД_419</t>
  </si>
  <si>
    <t>4610008524192</t>
  </si>
  <si>
    <t>Фоторамка Office Space деревянная, 40*50см, цвет мокко арт.РД_421</t>
  </si>
  <si>
    <t>4610008524215</t>
  </si>
  <si>
    <t>Фоторамка Office Space деревянная, 40*60см, цвет мокко арт.РД_422</t>
  </si>
  <si>
    <t>4610008524222</t>
  </si>
  <si>
    <t>Фоторамка Office Space пластиковая, 21*30см, цвет бирюза №2 арт.222164</t>
  </si>
  <si>
    <t>4680211055035</t>
  </si>
  <si>
    <t>Фоторамка Office Space пластиковая, 21*30см, цвет золото арт.234011</t>
  </si>
  <si>
    <t>4680211080945</t>
  </si>
  <si>
    <t>Фоторамка Office Space пластиковая, 21*30см, цвет малахит №2 арт.222162</t>
  </si>
  <si>
    <t>4680211055097</t>
  </si>
  <si>
    <t>Фоторамка Office Space стеклянная, 10*15см, "Узоры", синий арт.РСТ_20570</t>
  </si>
  <si>
    <t>4680211185701</t>
  </si>
  <si>
    <t>Чековая лента 44*12*25, 17м ТЕРМО STARLESS д/касс. аппаратов арт.44*12*25</t>
  </si>
  <si>
    <t>Чековая лента 57*12*25, 16м ТЕРМО STARLESS д/касс. аппаратов арт.57*12*25_16м</t>
  </si>
  <si>
    <t>Чернила OfficeSpace фиолетовые, 70мл арт.Чф_6569</t>
  </si>
  <si>
    <t>4680211045692</t>
  </si>
  <si>
    <t>Чернила OfficeSpace черные, 70мл арт.Чч_6567</t>
  </si>
  <si>
    <t>4680211045678</t>
  </si>
  <si>
    <t>Чернила РАДУГА фиолетовые, 70мл арт.320010</t>
  </si>
  <si>
    <t>4600395021268</t>
  </si>
  <si>
    <t>Чернила РАДУГА черные, 70мл арт.320009</t>
  </si>
  <si>
    <t>4600395021282</t>
  </si>
  <si>
    <t>Чернила РАДУГА ярко-синие, 70мл арт.320006</t>
  </si>
  <si>
    <t>4600395021275</t>
  </si>
  <si>
    <t>Шило канцелярское большое с пластм. ручкой арт.ШБ-01</t>
  </si>
  <si>
    <t>4602078003400</t>
  </si>
  <si>
    <t>Штамп "КОПИЯ ВЕРНА", 38*14мм арт.Printer 20Ск</t>
  </si>
  <si>
    <t>9004362477846</t>
  </si>
  <si>
    <t>Trodat</t>
  </si>
  <si>
    <t>Штамп самонаборный 38*14мм, 3стр., 1 касса, подушка, пинцет арт.4911/DB</t>
  </si>
  <si>
    <t>9008056431992</t>
  </si>
  <si>
    <t>Штамп самонаборный 47*18мм, 4стр., 2 кассы, подушка, пинцет арт.4912/DВ</t>
  </si>
  <si>
    <t>9008056432104</t>
  </si>
  <si>
    <t>Штамп самонаборный 58*22мм, 5стр., 2 кассы, подушка, пинцет арт.4913/DB</t>
  </si>
  <si>
    <t>9008056432166</t>
  </si>
  <si>
    <t>Штамп-нумератор мини автомат 3,8мм, 6 разрядов, пластик арт.S 126/BL</t>
  </si>
  <si>
    <t>9004362426691</t>
  </si>
  <si>
    <t>Штемпельная подушка Berlingo 100*80мм синяя арт.KDp_81002</t>
  </si>
  <si>
    <t>4606782158715</t>
  </si>
  <si>
    <t>Штемпельная подушка Berlingo 100*80мм фиолетовая арт.KDp_81007</t>
  </si>
  <si>
    <t>4606782158739</t>
  </si>
  <si>
    <t>Штрих-корректор Berlingo "Fuze" 20мл в бутылочке с кисточкой арт.KR200</t>
  </si>
  <si>
    <t>4260107494119</t>
  </si>
  <si>
    <t>Штрих-корректор ErichKrause 20мл в бутылочке с кисточкой арт.EK5</t>
  </si>
  <si>
    <t>4041485000051</t>
  </si>
  <si>
    <t>Штрих-корректор deVENTE 20мл в бутылочке с кисточкой арт.4060307</t>
  </si>
  <si>
    <t>4627079406937</t>
  </si>
  <si>
    <t>Штрих-корректор в ленте Attomex 5мм*3м в пакете арт.4062300</t>
  </si>
  <si>
    <t>4627079407255</t>
  </si>
  <si>
    <t>Штрих-корректор в ленте Attomex 5мм*8м в пласт. блистере арт.4062302</t>
  </si>
  <si>
    <t>4627079407293</t>
  </si>
  <si>
    <t>Штрих-корректор в ленте Berlingo "Fuze", 5мм*6м арт.Fks_06020</t>
  </si>
  <si>
    <t>4260107494126</t>
  </si>
  <si>
    <t>Штрих-корректор в ленте ErichKrause "TECHNO WHITE Mini" 4,2мм* 5м, в пакетике арт.21885</t>
  </si>
  <si>
    <t>4041485218852</t>
  </si>
  <si>
    <t>Штрих-корректор в ленте ErichKrause "TECHNO WHITE" 4,2мм* 8м в блистере арт.21887</t>
  </si>
  <si>
    <t>4041485218876</t>
  </si>
  <si>
    <t>Штрих-корректор в ленте ErichKrause 5мм* 6м в блистере арт.34639</t>
  </si>
  <si>
    <t>4041485346395</t>
  </si>
  <si>
    <t>Штрих-корректор в ленте deVENTE 5мм*8м в картон. блистере арт.4062303</t>
  </si>
  <si>
    <t>4627079407316</t>
  </si>
  <si>
    <t>Штрих-корректор в ручке Attomex 6 мл. арт.4061306</t>
  </si>
  <si>
    <t>4627079406876</t>
  </si>
  <si>
    <t>Штрих-корректор в ручке Berlingo "Fuze", 8 мл. арт.KR500</t>
  </si>
  <si>
    <t>4260107494102</t>
  </si>
  <si>
    <t>Штрих-корректор в ручке ErichKrause "ARCTIC WHITE", 10мл арт.781</t>
  </si>
  <si>
    <t>4041485007814</t>
  </si>
  <si>
    <t>Штрих-корректор в ручке ErichKrause "ARCTIC WHITE", 12мл арт.780</t>
  </si>
  <si>
    <t>4041485007807</t>
  </si>
  <si>
    <t>Штрих-корректор в ручке ErichKrause "TECHNO WHITE Ergo", 12мл арт.22105</t>
  </si>
  <si>
    <t>4041485221050</t>
  </si>
  <si>
    <t>Штрих-корректор в ручке ErichKrause "TECHNO WHITE", 6мл арт.22104</t>
  </si>
  <si>
    <t>4041485221043</t>
  </si>
  <si>
    <t>Штрих-корректор в ручке ErichKrause, 8 мл. арт.24815</t>
  </si>
  <si>
    <t>4041485248156</t>
  </si>
  <si>
    <t>Штрих-корректор в ручке deVENTE 12 мл. арт.4061313</t>
  </si>
  <si>
    <t>4627079407095</t>
  </si>
  <si>
    <t>Штрих-корректор в ручке deVENTE 3 мл. арт.4061600</t>
  </si>
  <si>
    <t>4627109708437</t>
  </si>
  <si>
    <t>Штрих-корректор в ручке deVENTE 8 мл. арт.4061311</t>
  </si>
  <si>
    <t>4627079407057</t>
  </si>
  <si>
    <t>ФАРМАКОН</t>
  </si>
  <si>
    <t>Этикет-лента 21*12 оранжевая, 30 шт. спайка (1000 шт в 1 рулоне) арт.21*12 оран</t>
  </si>
  <si>
    <t>MS BASIR</t>
  </si>
  <si>
    <t>Этикет-лента цветная 50*35мм (170 шт./рул) с надписью "Цена", цена за 1 рул.  арт.МС-602</t>
  </si>
  <si>
    <t>6936886211145</t>
  </si>
  <si>
    <t>Этикет-пистолет однострочный Pronto DB H8, 8 знаков (этикетка 21*12) арт.Pronto DB H8</t>
  </si>
  <si>
    <t>Спасибо, что Вы с нами!</t>
  </si>
  <si>
    <t xml:space="preserve">                       г. Минск, ул. Железнодорожная, д. 27, к.1, оф.321            </t>
  </si>
  <si>
    <t>Корпоративный отдел</t>
  </si>
  <si>
    <t xml:space="preserve"> Т/ф 226 31 09   277 06 39 мтс (029) 878 97 70, velcom (029) 168 10 56                         e-mail: korp@elefant.by</t>
  </si>
  <si>
    <t>WWW.ELEFANT.BY</t>
  </si>
  <si>
    <t>Луч</t>
  </si>
  <si>
    <t>ArtBerry</t>
  </si>
  <si>
    <t>Антистеплер Attomex для скоб №10, 24/6, 26/6 в картонной коробке, ассорти, арт. 4140300</t>
  </si>
  <si>
    <t>Баллончики для перьевой ручки синие 6шт./уп. (цена за 6 балл.) арт.9991006001KS</t>
  </si>
  <si>
    <t>ANSMANN</t>
  </si>
  <si>
    <t>Батарейка DURACELL Basic алкалиновая LR03 (AAА) -1.5V, блистер по 2шт. арт.Basic_LR03</t>
  </si>
  <si>
    <t>Батарейка DURACELL Basic алкалиновая LR06 (AA) -1.5V, блистер по 2шт. арт.Basic_LR06</t>
  </si>
  <si>
    <t>Бейдж вертикальный на зеленом шнуре (цена за уп. 10шт) арт.1427.В-108</t>
  </si>
  <si>
    <t>Блок для заметок белый 8*8*5 Attomex арт.2012907</t>
  </si>
  <si>
    <t>Блок для заметок белый 8*8*5 арт.Б301</t>
  </si>
  <si>
    <t>Блок для заметок белый 8*8*8 Attomex арт.2012906</t>
  </si>
  <si>
    <t>Блок для заметок белый 9*9*5 Attomex в пластбоксе арт.2013901</t>
  </si>
  <si>
    <t>Блок для заметок на магните deVENTE "Cats" 75х230 мм, 50 л., 80 г/м2, проклеенный, арт. 2012806</t>
  </si>
  <si>
    <t>Блок для заметок на магните deVENTE "Flowers" 75х230 мм, 50 л., 80 г/м2, проклеенный, арт. 2012804</t>
  </si>
  <si>
    <t>Блок для заметок на магните deVENTE "Fruits" 75х230 мм, 50 л., 80 г/м2, проклеенный, арт. 2012805</t>
  </si>
  <si>
    <t>Блок для заметок цветной 9*9*5 ErichKrause арт.5139</t>
  </si>
  <si>
    <t>Блок для заметок цветной 9*9*5 ErichKrause голубой с белыми прослойками арт.2723</t>
  </si>
  <si>
    <t>Блок для заметок цветной 9*9*5 ErichKrause желтый с белыми прослойками арт.2721</t>
  </si>
  <si>
    <t>Блок для заметок цветной 9*9*5 ErichKrause розовый с белыми прослойками арт.2719</t>
  </si>
  <si>
    <t>Блок для флип-чарта 99х66см 20 листов без линовки (Евро) арт.В04</t>
  </si>
  <si>
    <t>Блок для флип-чарта 99х66см 20 листов в клетку (Евро) арт.В05</t>
  </si>
  <si>
    <t>Блокнот А4 80л бизнес "Офис. My office", клетка, тверд. обложка, 5-цветный блок, глянцевая ламинация арт.ББ4т80ц_28102</t>
  </si>
  <si>
    <t>Блокнот А4 80л бизнес "Паттерн. New style", клетка, тверд. обложка, 5-цветный блок, матовая ламинация арт.ББ4т80ц_28100</t>
  </si>
  <si>
    <t>Блокнот А4 80л на гребне "Моноколор. Bright modern", в клетку, твердая подложка арт.Б4к80гр_27701</t>
  </si>
  <si>
    <t>Блокнот А4 80л на гребне "Узор. Fashion pattent", в клетку, твердая подложка арт.Б4к80гр_27699</t>
  </si>
  <si>
    <t>Альт</t>
  </si>
  <si>
    <t>Блокнот А4 80л престиж "Круги. Акварель", клетка, тв. обл., глянц. ламинация арт.3-80-060/11</t>
  </si>
  <si>
    <t>Блокнот А4 80л престиж "Призма времени", клетка, тв. обл., глянц. ламинация арт.3-80-060/9</t>
  </si>
  <si>
    <t>Блокнот А5 40л на гребне "Кошки" в клетку, ассорти 5 видов арт.3-40-462</t>
  </si>
  <si>
    <t>Блокнот А5 40л на гребне "Лавандовые ламы" в клетку, ассорти 5 видов арт.3-40-245</t>
  </si>
  <si>
    <t>Блокнот А5 40л на гребне "Микс" в клетку, ассорти 5 видов арт.3-40-023</t>
  </si>
  <si>
    <t>Блокнот А5 40л на гребне "Природа" в клетку, ассорти 5 видов арт.3-40-053</t>
  </si>
  <si>
    <t>Блокнот А5 40л на скрепке "Волшебные единороги" в клетку, ассорти 3 вида арт.3-40-262</t>
  </si>
  <si>
    <t>Блокнот А5 40л на скрепке "Котята" в клетку, ассорти 3 вида арт.3-40-466</t>
  </si>
  <si>
    <t>Блокнот А5 40л на скрепке "Природа" в клетку, ассорти 4 вида арт.3-40-499</t>
  </si>
  <si>
    <t>Блокнот А5 80л на гребне "Моноколор. Pale color" в клетку, твердая подложка арт.Б5к80гр_22521</t>
  </si>
  <si>
    <t>Блокнот А5 80л. бизнес "Мотивирующие цитаты", матовая ламинация, выборочный УФ-лак арт.ББ5т80_22370</t>
  </si>
  <si>
    <t>Блокнот А5 80л. бизнес "Узор. Fashion pattent", глянцевая ламинация арт.ББ5т80_26911</t>
  </si>
  <si>
    <t>Блокнот А5 80л. престиж "JAZZ CAFE", клетка, тв. обл., глянц. ламинация арт.3-80-072/16</t>
  </si>
  <si>
    <t>Блокнот А5 80л. престиж "Волшебные единороги", клетка, тв. обл., глянц. ламинация арт.3-80-072/15</t>
  </si>
  <si>
    <t>Блокнот А5 80л. престиж "Лавандовая лама", клетка, тв. обл., глянц. ламинация арт.3-80-072/19</t>
  </si>
  <si>
    <t>Блокнот А5 80л. престиж "Следуй за кроликом", клетка, тв. обл., глянц. ламинация арт.3-80-072/21</t>
  </si>
  <si>
    <t>Блокнот А6 160л с боковой спиралью, в клетку, ассорти 5 видов арт.3-160-010</t>
  </si>
  <si>
    <t>Блокнот А6 24л на скрепке "Детский. Микс" в клетку арт.Б6к24_23463</t>
  </si>
  <si>
    <t>Блокнот А6 24л на скрепке "МИКС. Ассорти" в клетку арт.Б6к24_23469</t>
  </si>
  <si>
    <t>Блокнот А6 24л на скрепке "Милые животные. Микс" в клетку арт.Б6к24_29357</t>
  </si>
  <si>
    <t>Блокнот А6 24л на скрепке "Техника. Микс" в клетку арт.Б6к24_23467</t>
  </si>
  <si>
    <t>Блокнот А6 24л на скрепке "Узоры. Микс" в клетку арт.Б6к24_23461</t>
  </si>
  <si>
    <t>Блокнот А6 32л на скрепке "МИКС. Ассорти" в клетку арт.Б6к32_23479</t>
  </si>
  <si>
    <t>Блокнот А6 32л на скрепке "Питомцы.Микс" в клетку арт.Б6к32_23473</t>
  </si>
  <si>
    <t>Блокнот А6 32л на скрепке "Путешествия. Микс" в клетку арт.Б6к32_23475</t>
  </si>
  <si>
    <t>Блокнот А6 32л на скрепке "Цветы. Микс" в клетку арт.Б6к32_23477</t>
  </si>
  <si>
    <t>Блокнот А6 40л на гребне "Волшебные лисы" в клетку, ассорти 5 видов арт.3-40-249</t>
  </si>
  <si>
    <t>Блокнот А6 40л на гребне "Котята" в клетку, ассорти 5 видов арт.3-40-028</t>
  </si>
  <si>
    <t>Блокнот А6 40л на гребне "Лавандовые ламы" в клетку, ассорти 5 видов арт.3-40-246</t>
  </si>
  <si>
    <t>Блокнот А6 40л на гребне "Природа" в клетку, ассорти 5 видов арт.3-40-113</t>
  </si>
  <si>
    <t>Блокнот А6 40л на гребне "Путешествия. Красота тишины" в клетку арт.Б6к40гр_26880</t>
  </si>
  <si>
    <t>Блокнот А6 48л на скрепке "Girls trend. Микс" в клетку арт.Б6к48_23483</t>
  </si>
  <si>
    <t>Блокнот А6 48л на скрепке "МИКС. Ассорти" в клетку арт.Б6к48_23489</t>
  </si>
  <si>
    <t>Блокнот А6 48л на скрепке "Моноколор. Микс" в клетку арт.Б6к48_23481</t>
  </si>
  <si>
    <t>Блокнот А6 48л на скрепке "Техника. Микс" в клетку арт.Б6к48_23485</t>
  </si>
  <si>
    <t>Блокнот А6 60л на гребне "Стиль. Nice things" в клетку арт.Б6к60гр_25985</t>
  </si>
  <si>
    <t>Блокнот А6 80л на гребне "Моноколор. Fine color" в клетку арт.Б6к80гр_27939</t>
  </si>
  <si>
    <t>Блокнот А6 80л на гребне "Путешествия. Coloured world" в клетку арт.Б6к80гр_27941</t>
  </si>
  <si>
    <t>Блокнот А6 80л на гребне "Путешествия. Travel more" в клетку арт.Б6к80гр_14053</t>
  </si>
  <si>
    <t>Блокнот А6 80л с боковой спиралью, в клетку, ассорти 5 видов арт.3-80-032</t>
  </si>
  <si>
    <t>Блокнот А6 80л. престиж "Волшебный мир", клетка, тв. обл., глянц. ламинация арт.3-80-005/17</t>
  </si>
  <si>
    <t>Блокнот А6 80л. престиж "Городская мечта. Париж", клетка, тв. обл., глянц. ламинация арт.3-80-005/12</t>
  </si>
  <si>
    <t>Блокнот А6 80л. престиж "Зефирное настроение", клетка, тв. обл., глянц. ламинация арт.3-80-005/21</t>
  </si>
  <si>
    <t>Блокнот А6 80л. престиж "Мороженки", клетка, тв. обл., глянц. ламинация арт.3-80-005/19</t>
  </si>
  <si>
    <t>Блокнот А6 80л. престиж "Счастливый день", клетка, тв. обл., глянц. ламинация арт.3-80-005/15</t>
  </si>
  <si>
    <t>Блокнот А6 80л. престиж "Шапито", клетка, тв. обл., глянц. ламинация арт.3-80-005/14</t>
  </si>
  <si>
    <t>Блокнот А7 250л на склейке "Микс" без линовки, бежевая бумага, ассорти 10 видов арт.3-558</t>
  </si>
  <si>
    <t>Блокнот А7 40л на гребне "Be happy" в клетку арт.Б7к40гр_24240</t>
  </si>
  <si>
    <t>Блокнот А7 40л на гребне "Кис-кис" в клетку, ассорти 3 вида арт.3-40-004</t>
  </si>
  <si>
    <t>Блокнот А7 40л на гребне "Кошачий взгляд" в клетку, ассорти 3 вида арт.3-40-007</t>
  </si>
  <si>
    <t>Блокнот А7 40л на гребне "Лавандовые ламы" в клетку, ассорти 5 видов арт.3-40-247</t>
  </si>
  <si>
    <t>Блокнот А7 40л на гребне "Леденцы. Colorful candy" в клетку арт.Б7к40гр_24232</t>
  </si>
  <si>
    <t>Блокнот А7 40л на гребне "Питомцы. Bright friends" в клетку арт.Б7к40гр_24242</t>
  </si>
  <si>
    <t>Блокнот А7 40л на гребне "Природа" в клетку, ассорти 5 видов арт.3-40-066</t>
  </si>
  <si>
    <t>Блокнот А7 40л на гребне "Цветы. Паттерн" в клетку, ассорти 5 видов арт.3-40-253</t>
  </si>
  <si>
    <t>Блокнот А7 40л на гребне "Чудо-щеночки" в клетку, ассорти 5 видов арт.3-40-065</t>
  </si>
  <si>
    <t>Блокнот А7 48л на склейке "Питомцы. Happy day" в клетку арт.Б7к48кл_21616</t>
  </si>
  <si>
    <t>Блокнот А7 48л на склейке "Стиль. Bright &amp; Sweet" в клетку арт.Б7к48кл_24549</t>
  </si>
  <si>
    <t>Блокнот А7 48л на склейке "Яркое вдохновение" в клетку арт.Б7к48кл_21618</t>
  </si>
  <si>
    <t>Блокнот-органайзер (эко) многофункциональный 21х15.2х2.5 см арт.ZH-754</t>
  </si>
  <si>
    <t>Бокс архивный из гофр. картона (324х245х235) Koroboff БУРЫЙ с крышкой арт.Бокс_Koroboff</t>
  </si>
  <si>
    <t>Булавки офисные OfficeSpace, 28мм, 150шт., карт. коробка арт.SP28_2262</t>
  </si>
  <si>
    <t>Бумага Navigator Office Card А4, 160г/м2 250л арт.NAVIGATOR Office Card</t>
  </si>
  <si>
    <t>Бумага А4 "DCP" CF, 200г/м2 250л арт.1807</t>
  </si>
  <si>
    <t>Бумага А5 200л deVENTE 80 г/м2, белизна 146%CIE, класс C, в п/п пакете, арт. 2073801</t>
  </si>
  <si>
    <t>Бумага для заметок в наборе (блокнот) 80*105*17 мм, "Palma" Easy Gifts в белой обложке арт.128306</t>
  </si>
  <si>
    <t>Бумага цв. А4  50 л 80 г/м2 "OfficeSpace" интенсив голубой арт.219287</t>
  </si>
  <si>
    <t>Бумага цв. А4  50 л 80 г/м2 "OfficeSpace" интенсив розовый арт.219288</t>
  </si>
  <si>
    <t>Бумага цв. А4  50 л 80 г/м2 "OfficeSpace" неон оранжевый арт.245196</t>
  </si>
  <si>
    <t>Бумага цв. А4  50 л 80 г/м2 "OfficeSpace" неон розовый арт.245197</t>
  </si>
  <si>
    <t>Бумага цв. А4 100 л 80 г/м2 "OfficeSpace" интенсив микс 5 цветов арт.219292</t>
  </si>
  <si>
    <t>Бумага цв. А4 100 л 80 г/м2 "deVENTE" интенсив микс 5 цветов арт.2072411</t>
  </si>
  <si>
    <t>Бумага цв. А4 100 л 80 г/м2 "deVENTE" неон микс 5 цветов арт.2072609</t>
  </si>
  <si>
    <t>Бумага цв. А4 500 л 80 г/м2 "IQ Color pale" розовый арт.PI25</t>
  </si>
  <si>
    <t>Бумага цв. А4 500 л 80 г/м2 "IQ Color trend" бледно-лиловый арт.LA12</t>
  </si>
  <si>
    <t>Бумага цв. А4 500 л 80 г/м2 "Kaskad" черный арт.608.099</t>
  </si>
  <si>
    <t>"ГОЗНАК"</t>
  </si>
  <si>
    <t>Ватман А1 (610*860мм) чертежный 200гр./м2  100л/уп арт.610*860_200</t>
  </si>
  <si>
    <t>Ватман А1 (610*860мм) чертежный 200гр./м2  300л/уп арт.610*860_200</t>
  </si>
  <si>
    <t>Ватман А2 (420*594мм) чертежный 200гр./м2 арт.420*594_200</t>
  </si>
  <si>
    <t>Ватман А3 (297*420мм) чертежный 200гр./м2 арт.297*420_200</t>
  </si>
  <si>
    <t>Ватман А4 (210*297мм) чертежный 200гр./м2 арт.210*297_200</t>
  </si>
  <si>
    <t>Визитница для дисконтных и визитных карточек 10 карм., обложка ПВХ, бирюзовая арт.2878/10-118</t>
  </si>
  <si>
    <t>Визитница для дисконтных и визитных карточек 10 карм., обложка ПВХ, розовая арт.2878/10-121</t>
  </si>
  <si>
    <t>Визитница на 160 карточек с кольцевым механизмом, обложка ПВХ, черная арт.2006-107</t>
  </si>
  <si>
    <t>Визитница на 72 карточки А5 "VELVET", обложка искусственная кожа, темно-синяя арт.3-173/18</t>
  </si>
  <si>
    <t>ГЛОБЕН</t>
  </si>
  <si>
    <t>"ГЛОБУСНЫЙ МИР"</t>
  </si>
  <si>
    <t>Диск CD-R Mirex HOTLINE 700 Мб 48х Slim Case  арт.UL120050A8S</t>
  </si>
  <si>
    <t>Диск DVD-R 4,7 Gb Verbatim DataLife 16x бумажный конверт арт.43844</t>
  </si>
  <si>
    <t>Доска для лепки А4  арт.НЛ05</t>
  </si>
  <si>
    <t>Доска для лепки А5  арт.НЛ01</t>
  </si>
  <si>
    <t>Доска магнитно-маркерная 90*150см Attomex белая арт.6020903</t>
  </si>
  <si>
    <t>Дыплом А4 "Узнагароджваецца" (гос. символика) арт.16с209.12</t>
  </si>
  <si>
    <t>Ежедневник А5 134*207 мм, недатир. Альт "Бумвинил" 256 стр, бордовый арт.3-044/1</t>
  </si>
  <si>
    <t>Ежедневник А5 134*207 мм, недатир. Альт "Бумвинил" 256 стр, синий арт.3-044/5</t>
  </si>
  <si>
    <t>Ежедневник А5 134*207 мм, недатир. Альт "Бумвинил" 256 стр, черный арт.3-044/4</t>
  </si>
  <si>
    <t>Ежедневник А5 134*207 мм, недатир. Альт "Вело-пати", 256 стр, 7БЦ, глянцевая ламинация арт.3-024/22</t>
  </si>
  <si>
    <t>Ежедневник А5 134*207 мм, недатир. Альт "Город ангелов", 256 стр, 7БЦ, глянцевая ламинация арт.3-024/26</t>
  </si>
  <si>
    <t>Ежедневник А5 134*207 мм, недатир. Альт "Контрасты", 256 стр, 7БЦ, глянцевая ламинация арт.3-024/27</t>
  </si>
  <si>
    <t>Ежедневник А5 134*207 мм, недатир. Альт "Цветочный паттерн", 256 стр, 7БЦ, глянцевая ламинация арт.3-024/25</t>
  </si>
  <si>
    <t>Ежедневник А5 135*206 мм, недатир. OfficeSpace "Кофе. Aroma energy", 272 стр, 7БЦ, глянцевая ламинация арт.Ен5т136_26916</t>
  </si>
  <si>
    <t>Ежедневник А5 135*206 мм, недатир. OfficeSpace "Стиль. Dreams and travel", 272 стр, 7БЦ, глянц.ламин. арт.Ен5т136_26921</t>
  </si>
  <si>
    <t>Ежедневник А5 135*206 мм, недатир. OfficeSpace "Стиль. Mixed collection", 272 стр, 7БЦ арт.Ен5т136_21507</t>
  </si>
  <si>
    <t>Ежедневник А5 135*206 мм, недатир. OfficeSpace "Стиль. Mixed collection", 320 стр, 7БЦ арт.Ен5т160_21515</t>
  </si>
  <si>
    <t>Ежедневник А5 140*210 мм, недатир. Attomex 320 стр, бордовый, тв. обл., бумвинил, тиснение фольгой арт.2034887</t>
  </si>
  <si>
    <t>Ежедневник А5 140*210 мм, недатир. Attomex 320 стр, черный, тв. обл., бумвинил, тиснение фольгой арт.2034891</t>
  </si>
  <si>
    <t>Ежедневник А5 143*205 мм, недатир. Attomex "Visa" 320 стр, темно-синий, перф-я, тв. обл. арт.2034626</t>
  </si>
  <si>
    <t>Ежедневник А5 145*205 мм, недатир. deVENTE "Adore" 320 стр, черный, серебряный срез, перф-я, тв. обл арт.2034803</t>
  </si>
  <si>
    <t>Ежедневник А5 145*205 мм, недатир. deVENTE "Atria" 320 стр, изумрудный, перф-я, франц. корешок, тв. обл арт.2034920</t>
  </si>
  <si>
    <t>Ежедневник А5 145*205 мм, недатир. deVENTE "Atria" 320 стр, розовый, перф-я, франц. корешок, тв. обл арт.2034918</t>
  </si>
  <si>
    <t>Ежедневник А5 145*205 мм, недатир. deVENTE "Atria" 320 стр, сиреневый, перф-я, франц. корешок, тв. обл арт.2034919</t>
  </si>
  <si>
    <t>Ежедневник А5 145*205 мм, недатир. deVENTE "Black&amp;White" 320 стр, в горошек, красный срез, перф-я, мягк. обл арт.2034925</t>
  </si>
  <si>
    <t>Ежедневник А5 145*205 мм, недатир. deVENTE "Black&amp;White" 320 стр, в гус.лапку, красн.срез, перф-я, мягк. обл арт.2034927</t>
  </si>
  <si>
    <t>Ежедневник А5 145*205 мм, недатир. deVENTE "Elise" 320 стр, малиновый с бел. бабочками, цв. срез, мягк. обл арт.2034963</t>
  </si>
  <si>
    <t>Ежедневник А5 145*205 мм, недатир. deVENTE "Elise" 320 стр, фиолет. с бел. бабочками, цв. срез, мягк. обл арт.2034962</t>
  </si>
  <si>
    <t>Ежедневник А5 145*205 мм, недатир. deVENTE "Elizabeth" 320 стр, светло-роз. с цветами, бирюз. срез, мягк.обл арт.2034940</t>
  </si>
  <si>
    <t>Ежедневник А5 145*205 мм, недатир. deVENTE "Elizabeth" 320 стр, темно-синий с цветами, малин. срез, мягк.обл арт.2034942</t>
  </si>
  <si>
    <t>Ежедневник А5 145*205 мм, недатир. deVENTE "Greta" 320 стр, изумрудный с цветами, сиреневый срез, мягк. обл арт.2034939</t>
  </si>
  <si>
    <t>Ежедневник А5 145*205 мм, недатир. deVENTE "Greta" 320 стр, светло-роз. с цветами, малин. срез, мягк. обл арт.2034937</t>
  </si>
  <si>
    <t>Ежедневник А5 145*205 мм, недатир. deVENTE "Greta" 320 стр, сиреневый с цветами, салатовый срез, мягк. обл арт.2034938</t>
  </si>
  <si>
    <t>Ежедневник А5 145*205 мм, недатир. deVENTE "Merano" 320 стр, нежно-розовый металлик, перф., гибкая обл. арт.2034966</t>
  </si>
  <si>
    <t>Ежедневник А5 145*205 мм, недатир. deVENTE "Neon" 320 стр, желтый, салатовый срез, перф-я, тв. обл арт.2034931</t>
  </si>
  <si>
    <t>Ежедневник А5 145*205 мм, недатир. deVENTE "Neon" 320 стр, салатовый, оранжевый срез, перф-я, тв. обл арт.2034932</t>
  </si>
  <si>
    <t>Ежедневник А5 145*205 мм, недатир. deVENTE "Neon" 320 стр, фиолетовый, розовый срез, перф-я, тв. обл арт.2034933</t>
  </si>
  <si>
    <t>Ежедневник А5 145*205 мм, недатир. Альт "CAIMAN" 272 стр, коричневый, золотой срез арт.3-494</t>
  </si>
  <si>
    <t>Ежедневник А5 145*205 мм, недатир. Альт "LEADER" 272 стр, синий арт.3-129/01</t>
  </si>
  <si>
    <t>Ежедневник А5 145*205 мм, недатир. Альт "LEADER" 272 стр, черный арт.3-129/04</t>
  </si>
  <si>
    <t>Ежедневник А5 145*205 мм, недатир. Альт "SIDNEY NEBRASKA" 272 стр, золото, золотой срез арт.3-128/11</t>
  </si>
  <si>
    <t>Ежедневник А5 145*205 мм, недатир. Альт "SIDNEY NEBRASKA" 272 стр, серебро, серебр. срез арт.3-128/10</t>
  </si>
  <si>
    <t>Ежедневник А5 145*205 мм, недатир. Альт "VELVET" 272 стр, бордовый арт.3-115/02</t>
  </si>
  <si>
    <t>Ежедневник А5 145*205 мм, недатир. Альт "VELVET" 272 стр, желтый арт.3-115/14</t>
  </si>
  <si>
    <t>Ежедневник А5 145*205 мм, недатир. Альт "VELVET" 272 стр, зеленый арт.3-115/05</t>
  </si>
  <si>
    <t>Ежедневник А5 145*205 мм, недатир. Альт "VELVET" 272 стр, темно-синий арт.3-115/18</t>
  </si>
  <si>
    <t>Ежедневник А5 145*205 мм, недатир. Альт "VELVET" 272 стр, фуксия арт.3-115/09</t>
  </si>
  <si>
    <t>Ежедневник А5 145*205 мм, недатир. Альт "VELVET" 272 стр, цвет морской волны арт.3-115/15</t>
  </si>
  <si>
    <t>Ежедневник А6 110*146мм, недатир. Альт "JAZZ CAFE", 256 стр, 7БЦ, глянцевая ламинация арт.3-020/27</t>
  </si>
  <si>
    <t>Ежедневник А6 110*146мм, недатир. Альт "Горизонт", 256 стр, 7БЦ, глянцевая ламинация арт.3-020/31</t>
  </si>
  <si>
    <t>Ежедневник А6 110*146мм, недатир. Альт "Город ангелов", 256 стр, 7БЦ, глянцевая ламинация арт.3-020/32</t>
  </si>
  <si>
    <t>Ежедневник А6 110*146мм, недатир. Альт "Фламинго", 256 стр, 7БЦ, глянцевая ламинация арт.3-020/24</t>
  </si>
  <si>
    <t>Ежедневник А6 110*146мм, недатир. Альт "Фруктовый паттерн", 256 стр, 7БЦ, глянцевая ламинация арт.3-020/26</t>
  </si>
  <si>
    <t>Ежедневник А6+ 112*155 мм, недатир. Альт "VELVET" 272 стр, бордовый арт.3-495/02</t>
  </si>
  <si>
    <t>Ежедневник А6+ 112*155 мм, недатир. Альт "VELVET" 272 стр, зеленый арт.3-495/05</t>
  </si>
  <si>
    <t>Ежедневник А6+ 112*155 мм, недатир. Альт "VELVET" 272 стр, темно-синий арт.3-495/18</t>
  </si>
  <si>
    <t>Ежедневник А6+ 112*155 мм, недатир. Альт "VELVET" 272 стр, черный арт.3-495/04</t>
  </si>
  <si>
    <t>Ежедневник учителя А5 128л "JAZZ CAFE", глянц. ламинация арт.3-409/18</t>
  </si>
  <si>
    <t>Ежедневник учителя А5 128л "Цветы и колоски", глянц. ламинация арт.3-409/17</t>
  </si>
  <si>
    <t>Еженедельник карманный 90*165мм, недатир. OfficeSpace "Brilliance", 128 стр., бирюзовый арт.Wn7_25189</t>
  </si>
  <si>
    <t>Еженедельник карманный 90*165мм, недатир. OfficeSpace "Brilliance", 128 стр., красный арт.Wn7_25191</t>
  </si>
  <si>
    <t>Еженедельник карманный 90*165мм, недатир. OfficeSpace "Brilliance", 128 стр., синий арт.Wn7_25187</t>
  </si>
  <si>
    <t>Зажим мет. для бумаг (1,5см) deVENTE цветной арт. 4131313</t>
  </si>
  <si>
    <t>Зажим мет. для бумаг (1,9см) deVENTE цветной  арт. 4131314</t>
  </si>
  <si>
    <t>Зажим мет. для бумаг (2,5см) deVENTE цветной  арт. 4131315</t>
  </si>
  <si>
    <t>Зажим мет. для бумаг (3,2см) deVENTE цветной арт. 4131316</t>
  </si>
  <si>
    <t>Зажим мет. для бумаг (4,1см) deVENTE цветной арт. 4131317</t>
  </si>
  <si>
    <t>Зажим мет. для бумаг (5,1см) deVENTE цветной арт. 4131318</t>
  </si>
  <si>
    <t>Зажим метал. для бумаг (1,5см) Attomex арт.4131300</t>
  </si>
  <si>
    <t>Зажим метал. для бумаг (1,9см) Attomex арт.4131301</t>
  </si>
  <si>
    <t>Зажим метал. для бумаг (2,5см) Attomex арт.4131302</t>
  </si>
  <si>
    <t>Зажим метал. для бумаг (3,2см) Attomex  арт.4131303</t>
  </si>
  <si>
    <t>Зажим метал. для бумаг (4,1см) Attomex арт.4131304</t>
  </si>
  <si>
    <t>Зажим метал. для бумаг (5,1см) Attomex арт.4131305</t>
  </si>
  <si>
    <t>Записная книжка А5 160 стр. deVENTE "Joli" 145х205мм, голубая, в клетку, тв. обл арт.2051928</t>
  </si>
  <si>
    <t>Записная книжка А6 60л ArtSpace "Lama", 7БЦ, метал. замок арт.NL135p_21553</t>
  </si>
  <si>
    <t>Записная книжка А6 64л ArtSpace "Sweet owl", 7БЦ, метал. замок арт.NL150p_24628</t>
  </si>
  <si>
    <t>Записная книжка А6 80л на гребне "Верь в себя!" в клетку арт.Зк6к80гр_26896</t>
  </si>
  <si>
    <t>Записная книжка А6 80л на гребне "Питомцы. Best day" в клетку арт.Зк6к80гр_26886</t>
  </si>
  <si>
    <t>Записная книжка А6 80л на гребне "Рисунки. Be happy" в клетку арт.Зк6к80гр_26894</t>
  </si>
  <si>
    <t>Записная книжка А7 160 стр. deVENTE "Black&amp;White" 90х130мм, в горошек, красн. срез, в клетку, мягк.обл арт.2054900</t>
  </si>
  <si>
    <t>Записная книжка А7 160 стр. deVENTE "Black&amp;White" 90х130мм, в полоску, красн. срез, в клетку, мягк.обл арт.2054901</t>
  </si>
  <si>
    <t>Записная книжка В6 160 стр. deVENTE "Neon" 120х170мм, желтая неон., салатовый срез, тв. обл., в клетку арт.2052903</t>
  </si>
  <si>
    <t>Записная книжка В6 160 стр. deVENTE "Neon" 120х170мм, фиолетовая неон., розовый срез, тв. обл., в клетку арт.2052905</t>
  </si>
  <si>
    <t>Степ Пазл</t>
  </si>
  <si>
    <t>Инструмент чертежный спирограф deVENTE, пластик, ассорти 3 цв., арт. 5091907</t>
  </si>
  <si>
    <t>Календарь карманный 2020, 65*95мм "Сад и огород", блестки арт.282947</t>
  </si>
  <si>
    <t>Hatber</t>
  </si>
  <si>
    <t>Календарь карманный 2020, 70*100мм "Животные", глянцевая ламинация арт.Кк7</t>
  </si>
  <si>
    <t>Календарь настенный на пружине на 2020г. 30х46см (ассорти) арт.19с41</t>
  </si>
  <si>
    <t>Календарь перекидной настольный на 2020г.(ассорти) арт.19с38</t>
  </si>
  <si>
    <t>Калькулятор "Citizen SDC-810NRNVE" 10 разр., 2пит., 127*105*21 (настольный малый), синий арт.SDC-810NRNV</t>
  </si>
  <si>
    <t>Калькулятор "Citizen SDC-810NRWHE" 10 разр., 2пит., 127*105*21 (настольный малый), белый арт.SDC-810NRWH</t>
  </si>
  <si>
    <t>Калькулятор "Citizen SDC-812NRGNE" 12 разр., 2пит., 127*105*21 (настольный малый), зеленый арт.SDC-812NRGN</t>
  </si>
  <si>
    <t>Калькулятор "Citizen SDC-812NRPKE" 12 разр., 2пит., 127*105*21 (настольный малый), розовый арт.SDC-812NRPK</t>
  </si>
  <si>
    <t>Калькулятор "Citizen SR 135 N" инж., 128 функций, 10 разр., 154х81х19 арт.SR-135N</t>
  </si>
  <si>
    <t>Карандаш Adel c ластиком ч/гр.  "Bee" из черного дерева, 4 дизайна арт.2061130170</t>
  </si>
  <si>
    <t>Карандаш Adel c ластиком ч/гр.  "Party Blackline" из черного дерева, 4 цвета арт.2091192001</t>
  </si>
  <si>
    <t>Карандаш Adel c ластиком ч/гр. "Natural" из черного дерева, черный корпус арт.2061130637</t>
  </si>
  <si>
    <t>Карандаш Adel c ластиком ч/гр. НВ "Next Round" цветной корпус арт.2061162000</t>
  </si>
  <si>
    <t>Карандаш Adel автомат. "Auto Prime" 0,5 мм с ластиком в дисплее (60шт) арт.2120000017</t>
  </si>
  <si>
    <t>Карандаш Adel ч/гр. "Emoji" 4 дизайна арт.2061130180</t>
  </si>
  <si>
    <t>Карандаш Adel ч/гр. "Pattern" 4 дизайна арт.2061130190</t>
  </si>
  <si>
    <t>Карандаш Adel ч/гр. "School" из черного дерева, 4 дизайна, 2В арт.2062140000</t>
  </si>
  <si>
    <t>Карандаш Attomex HB ч/гр. с ластиком, шестигранный, заточенный, зеленый корпус арт.5032601</t>
  </si>
  <si>
    <t>Bruno Visconti</t>
  </si>
  <si>
    <t>Карандаш Bruno Visconti HB ч/гр. "ArtGraphix. Велосипеды", трехгранный, пластик. корпус арт.21-0038/02</t>
  </si>
  <si>
    <t>Карандаш Bruno Visconti HB ч/гр. "ArtGraphix. Фламинго", трехгранный, пластик. корпус арт.21-0050/03</t>
  </si>
  <si>
    <t>Карандаш ErichKrause HB ч/гр. с ластиком JOY, круглый, черный пластик, ассорти арт.43582</t>
  </si>
  <si>
    <t>Карандаш ErichKrause HB ч/гр. с ластиком MEGAPOLIS, трехгранный арт.43577</t>
  </si>
  <si>
    <t>Карандаш ErichKrause HB ч/гр. с ластиком MEGAPOLIS, шестигранный арт.32860</t>
  </si>
  <si>
    <t>Карандаш KOH-I-NOOR 1580 трехгранный 3 шт./наб. (В, Н, НВ) в европодвесе арт.1580003001BL</t>
  </si>
  <si>
    <t>Карандаш KOH-I-NOOR 1696 6 шт./набор (2Н-2В) в пласт. упак. с европодвесом арт. 1696006041ТЕ</t>
  </si>
  <si>
    <t>Карандаш KOH-I-NOOR ПЛОТНИКА 250мм (желтый корп.) арт.153700200165</t>
  </si>
  <si>
    <t>Карандаш KOH-I-NOOR офисный Blue-Red Star 2-х цветный (сине-красный) арт.3433</t>
  </si>
  <si>
    <t>Карандаш KOH-I-NOOR химический красный корп. арт.1561 G</t>
  </si>
  <si>
    <t>Карандаш deVENTE HB ч/гр. с ластиком, "BlackBright", черный корпус, фольгированный дизайн, черное дерево арт.5032802</t>
  </si>
  <si>
    <t>Карандаш deVENTE HB ч/гр. с ластиком, "BlackStyle", черный корпус, черное дерево арт.5032801</t>
  </si>
  <si>
    <t>Карандаш deVENTE HB ч/гр. с ластиком, "Soft Shimmer", цветной корпус с запечаткой, черное дерево арт.5032805</t>
  </si>
  <si>
    <t>Карандаш deVENTE HB ч/гр. с ластиком, "Vivid", корпус неоновый с запечаткой, черное дерево арт.5032804</t>
  </si>
  <si>
    <t>Карандаш deVENTE HB ч/гр. с ластиком, круглый корпус, цвета корпуса ассорти, ассорти арт.5032326</t>
  </si>
  <si>
    <t>Карандаш автоматический 0.5мм Bruno Visconti "JoyGraphix. Обнимашки", ассорти 6 видов арт.21-0053/01</t>
  </si>
  <si>
    <t>Карандаш автоматический 0.5мм Bruno Visconti "MagicGraphix. Бельки" арт.21-0044/05</t>
  </si>
  <si>
    <t>Карандаш автоматический 0.5мм Bruno Visconti "MagicGraphix. Зверюшки" арт.21-0044/08</t>
  </si>
  <si>
    <t>Карандаш автоматический 0.5мм Bruno Visconti "MagicGraphix. Овечки" арт.21-0044/04</t>
  </si>
  <si>
    <t>Карандаш автоматический 0.5мм Bruno Visconti "MagicGraphix. Панда" арт.21-0044/02</t>
  </si>
  <si>
    <t>Карандаш автоматический 0.5мм Bruno Visconti "MagicGraphix. Хомячки" арт.21-0044/06</t>
  </si>
  <si>
    <t>Карандаш сегментный ErichKrause Caramel арт.44966</t>
  </si>
  <si>
    <t>СИБИРСКАЯ КАРАНДАШНАЯ ФАБРИКА</t>
  </si>
  <si>
    <t>Карандаши  СКФ ч/гр набор 6шт. "БОСС" (ТМ),  карт. коробка арт.СК555/6</t>
  </si>
  <si>
    <t>Карандаши  СКФ ч/гр набор 6шт. "Всепогодные карандаши" (ТМ),  карт. коробка арт.СК555/7</t>
  </si>
  <si>
    <t>Карандаши  СКФ ч/гр набор 6шт. "Неделька" (ТМ),  карт. коробка арт.СК555/4</t>
  </si>
  <si>
    <t>Карандаши  СКФ ч/гр набор 6шт. "Семейная философия" (ТМ),  карт. коробка арт.СК555/5</t>
  </si>
  <si>
    <t>Мульти-Пульти</t>
  </si>
  <si>
    <t>Карандаши набор 03 шт ArtSpace "Графика" ч/гр., Н, HB, В, заточен., пакет, европодвес арт.HY008_15111</t>
  </si>
  <si>
    <t>Карандаши набор 03 шт Berlingo ч/гр., Н, HB, В, заточен., картонная упак., европодвес арт.BS01203</t>
  </si>
  <si>
    <t>Карандаши набор 06 шт ArtBerry ч/гр. (2H,H,HB,HB,B,2B), шестигранные арт.45389</t>
  </si>
  <si>
    <t>Карандаши набор 06 шт Архитектор deVENTE 2M-2Т шестигр., заточ, в картонной коробке, арт. 5030701</t>
  </si>
  <si>
    <t>Карандаши набор 10 шт Архитектор deVENTE 2M-2Т шестигр., заточ, в картонной коробке, арт. 5030702</t>
  </si>
  <si>
    <t>Карандаши набор 12 шт Архитектор deVENTE 2M-2Т шестигр., заточ, в картонной коробке, арт. 5030703</t>
  </si>
  <si>
    <t>Карман для карт 64*96 "Фрукты" арт.2802.ЯК.Ф</t>
  </si>
  <si>
    <t>Карман для карт 64*96, зеленый арт.2922-508</t>
  </si>
  <si>
    <t>Карман для карт 64*96, розовый арт.2922-521</t>
  </si>
  <si>
    <t>Карман для карт 64*96, синий арт.2922-501</t>
  </si>
  <si>
    <t>Карман для карт 65*98 прозрачный арт.1164.250</t>
  </si>
  <si>
    <t>Карман самоклеящийся 223*303 мм (цена за 3шт/уп) арт.1555.С/3</t>
  </si>
  <si>
    <t>Карта ЕВРОПЫ политико-административная (с флагами и справочн.инф), масштаб 1:5млн, 132*108 см, арт. Н010008</t>
  </si>
  <si>
    <t>Карта Звездного неба, 164*170 см, арт. Н010013</t>
  </si>
  <si>
    <t>Карта мира "Растения и животные Земли" 1,13м*0,80м, масштаб 1:37,5 млн., односторонняя ламинация, арт. 20072</t>
  </si>
  <si>
    <t>Карта мира "Строение земной коры и полезные ископаемые мира", 1,16*1,86м, 1/20млн, 2л., арт. Н010043</t>
  </si>
  <si>
    <t>Карта памяти USB (флэш-накопитель)  8Gb Smartbuy Glossy series Green с колпачком арт.SB8GBGS-G</t>
  </si>
  <si>
    <t>Карта памяти USB (флэш-накопитель) 16Gb Smartbuy Glossy series Green с колпачком арт.SB16GBGS-G</t>
  </si>
  <si>
    <t>Карта памяти USB (флэш-накопитель) 32Gb Smartbuy Crown White с колпачком арт.SB32GBCRW-W</t>
  </si>
  <si>
    <t>Карта памяти USB (флэш-накопитель) 32Gb Smartbuy Glossy series Orange с колпачком арт.SB32GBGS-Or</t>
  </si>
  <si>
    <t>Карты игральные Attomex 36 карт, картонные, с ламинацией, арт. 9032800</t>
  </si>
  <si>
    <t>Клей ПВА 150 гр. в пласт. бут. с дозатаром арт.150КВ-ЭЛ</t>
  </si>
  <si>
    <t>Клей ПВА-М  25 гр. в пласт. бут. с дозатором, желтый флакон арт.20С 1350-08</t>
  </si>
  <si>
    <t>Клей ПВА-М  45 гр. в пласт. бут. с дозатором, желтый флакон арт.20С 1351-08</t>
  </si>
  <si>
    <t>Клей ПВА-М  65 гр. в пласт. бут. с дозатором, желтый флакон арт.20С 1352-08</t>
  </si>
  <si>
    <t>Клей ПВА-М  85 гр. в пласт. бут. с дозатором, желтый флакон арт.20С 1353-08</t>
  </si>
  <si>
    <t>Клей ПВА-М 125 гр. в пласт. бут. с дозатором, желтый флакон арт.20С 1354-08</t>
  </si>
  <si>
    <t>Клей для пазлов арт.00002</t>
  </si>
  <si>
    <t>Клей-карандаш Attomex 21 г., PVA основа, в картонном дисплее, арт. 4042302</t>
  </si>
  <si>
    <t>Клей-карандаш ErichKrause 21г. в карт. дисплее арт.2368</t>
  </si>
  <si>
    <t>Клей-карандаш ErichKrause MAGIC 15г. в карт. дисплее арт.4446</t>
  </si>
  <si>
    <t>Клейкая бумага д/заметок deVENTE (76*76) 400л, 10 цветов арт.2010721</t>
  </si>
  <si>
    <t>Клейкая бумага набор deVENTE "Алфавит", 33х45 мм, 36х15 листов, 5 цветов с печатью, арт. 2010901</t>
  </si>
  <si>
    <t>Клейкая бумага набор deVENTE "Цифры и знаки", 33х45 мм, 16х15 листов, 4 цвета с печатью, арт. 2010900</t>
  </si>
  <si>
    <t>Книга для рисования А4 80стр "Большая раскраска. Веселые игры" на склейке арт.Рб80_28309</t>
  </si>
  <si>
    <t>Книга для рисования А4 80стр "Большая раскраска. Для мальчишек" на склейке арт.Рб80_28311</t>
  </si>
  <si>
    <t>Книга для рисования А4 80стр "Большая раскраска. Принцессы мира" на склейке арт.Рб80_28307</t>
  </si>
  <si>
    <t>Книга для рисования А4 80стр "Большая раскраска. Русалочки и феи" на склейке арт.Рб80_28308</t>
  </si>
  <si>
    <t>Книга для рисования А5+ 40стр "Большая раскраска. Английский алфавит" на гребне арт.Рб40сп_7201</t>
  </si>
  <si>
    <t>Книга для рисования А5+ 40стр "Большая раскраска. Веселый счет" на гребне арт.Рб40сп_28305</t>
  </si>
  <si>
    <t>Книга для рисования А5+ 40стр "Большая раскраска. Для маленьких красавиц" на гребне арт.Рб40сп_28302</t>
  </si>
  <si>
    <t>Книга для рисования А5+ 40стр "Большая раскраска. Морские приключения" на гребне арт.Рб40сп_28303</t>
  </si>
  <si>
    <t>Кнопки канцелярские ErichKrause, никелированные, 50 шт. в карт. коробочке арт.7851</t>
  </si>
  <si>
    <t>Кнопки канцелярские силовые deVENTE, 9 мм, цветные, в форме гвоздика, 50 шт в карт. коробке арт.4132401</t>
  </si>
  <si>
    <t>Корзина 09л сетчатая серая OfficeClean арт.КР_62548/КР22</t>
  </si>
  <si>
    <t>Корзина для бумаг Berlingo "Steel&amp;Style" материал стальной мэш, 9л, цвет черный арт.BMs_41812</t>
  </si>
  <si>
    <t>Короб архив. 100мм (327х100х240) из гофр. картона, белый, красная печать Koroboff арт.100_красн печ_Koroboff</t>
  </si>
  <si>
    <t>Короб архив. 100мм (327х100х240) из гофр. картона, белый, синяя печать Koroboff арт.100_син печ_Koroboff</t>
  </si>
  <si>
    <t>Короб архив. 120мм (322х120х240) из гофр. картона, белый, красная печать Koroboff арт.120_красн печ_Koroboff</t>
  </si>
  <si>
    <t>Короб архив. 150мм (327х150х240) из гофр. картона, белый, зеленая печать Koroboff арт.150_зел печ_Koroboff</t>
  </si>
  <si>
    <t>Короб архив. 150мм (327х150х240) из гофр. картона, белый, синяя печать Koroboff арт.150_син печ_Koroboff</t>
  </si>
  <si>
    <t>Короб архив. 80мм (322х80х240) из гофр. картона, белый, красная печать Koroboff арт.80_красн печ_Koroboff</t>
  </si>
  <si>
    <t>Короб архив. 80мм (322х80х240) из гофр. картона, белый, синяя печать Koroboff арт.80_син печ_Koroboff</t>
  </si>
  <si>
    <t>Ластик Bruno Visconti "HappyGraphix Pastel", ассорти 3 цвета арт.42-0014</t>
  </si>
  <si>
    <t>Ластик Bruno Visconti "HappyGraphix Zefir", в пластик. коробочке, 4 цвета арт.42-0015</t>
  </si>
  <si>
    <t>Ластик ErichKrause фигурный Dusty Smoke Jumpers арт.37909</t>
  </si>
  <si>
    <t>Ластик ErichKrause фигурный Hot Wheels Super Car арт.39783</t>
  </si>
  <si>
    <t>Ластик STABILO LeftRight для левшей/правшей,треугольный,ассорти (син.,роз.),в индивид.упак.,30шт. в коробке арт.1166/30</t>
  </si>
  <si>
    <t>Ластик deVENTE "Animal" 2М, цветной, в пластиковой тубе арт. 8030700</t>
  </si>
  <si>
    <t>Ластик deVENTE "Stick" 2М, цветной, в индивидуальной упаковке арт. 8030604</t>
  </si>
  <si>
    <t>Unibob</t>
  </si>
  <si>
    <t>Лента клейкая декоративная "Разноцветная" 15мм*5м*6шт арт.51715</t>
  </si>
  <si>
    <t>Лента упаковочная декоративная, 20м*5мм, металлизированная арт.11404</t>
  </si>
  <si>
    <t>Линейка 15 см ArtSpace "Машинки", пластиковая, европодвес арт.256241</t>
  </si>
  <si>
    <t>Линейка 15 см ArtSpace "Цветочки", пластиковая, европодвес арт.256242</t>
  </si>
  <si>
    <t>Линейка 15 см deVENTE Cat, фигурная деревянная, с рисунком, арт. 5091900</t>
  </si>
  <si>
    <t>Линейка 15 см deVENTE Fruits, фигурная деревянная, с рисунком, арт. 5091901</t>
  </si>
  <si>
    <t>Линейка 16 см Attomex черная, арт.5091300</t>
  </si>
  <si>
    <t>Линейка 16 см deVENTE полупрозрачная цветная, арт.5091318</t>
  </si>
  <si>
    <t>Линейка 20 см deVENTE непрозрачная цветная, арт.5091327</t>
  </si>
  <si>
    <t>Линейка 20 см широкая флю рисунком(2 цв) арт.ЛН102</t>
  </si>
  <si>
    <t>Линейка 25 см непрозрачная, флуоресцентная deVENTE, арт. 5091328</t>
  </si>
  <si>
    <t>Линейка 30 см deVENTE полупрозрачная цветная, арт. 5091321</t>
  </si>
  <si>
    <t>Линейка закройщика 30 см  NEON Cristal оранжевая арт.ЛН720</t>
  </si>
  <si>
    <t>Линейка мет. 100 см deVENTE, двусторонняя, толщина 0,5 мм, в пластиковом чехле арт.5091915</t>
  </si>
  <si>
    <t>Лоток 3-х секционный ЭКОНОМ (2 отделения) серый арт.ЛТ411</t>
  </si>
  <si>
    <t>Лоток 7-ми секционный ВЕЕР тонированный серый арт.ЛТ44</t>
  </si>
  <si>
    <t>Лоток вертикальный Berlingo "Mega top" 90 мм неоновый желтый, арт. MLv_00703</t>
  </si>
  <si>
    <t>Лоток вертикальный Berlingo "Mega top" 90 мм неоновый зеленый, арт. MLv_00702</t>
  </si>
  <si>
    <t>Лоток вертикальный Berlingo "Mega top" 90 мм неоновый оранжевый, арт. MLv_00704</t>
  </si>
  <si>
    <t>Лоток вертикальный Berlingo "Mega top" 90 мм неоновый розовый, арт. MLv_00713</t>
  </si>
  <si>
    <t>Лоток вертикальный Berlingo "Mega top" 90 мм черный, арт. MLv_00501</t>
  </si>
  <si>
    <t>Лоток вертикальный Berlingo "Mega top" тонированный зеленый, арт. MLv_00504</t>
  </si>
  <si>
    <t>Лоток вертикальный STAMM XXL 160мм, черный эконом арт. ОФ333</t>
  </si>
  <si>
    <t>Лоток вертикальный ФАВОРИТ 90 мм, прозрачный арт. ЛТ701</t>
  </si>
  <si>
    <t>Лоток вертикальный ФАВОРИТ 90 мм, тонированный "Манго" арт. ЛТ716</t>
  </si>
  <si>
    <t>Лоток горизонтальный Berlingo "City Style" тонированный зеленый, арт. MLg_01204</t>
  </si>
  <si>
    <t>Лоток горизонтальный Berlingo "City Style" тонированный красный, арт. MLg_01203</t>
  </si>
  <si>
    <t>Лоток горизонтальный Berlingo "City Style" тонированный оранжевый, арт. MLg_01216</t>
  </si>
  <si>
    <t>Лоток горизонтальный Berlingo "City Style" тонированный синий, арт. MLg_01212</t>
  </si>
  <si>
    <t>Лоток горизонтальный ДЕЛЬТА голубой Voyage Berlin, арт. ЛТ640</t>
  </si>
  <si>
    <t>Лоток горизонтальный ДЕЛЬТА зеленый Voyage NY, арт. ЛТ641</t>
  </si>
  <si>
    <t>Лоток горизонтальный ДЕЛЬТА розовый Voyage Agra, арт. ЛТ643</t>
  </si>
  <si>
    <t>Лоток горизонтальный ДЕЛЬТА розовый Voyage Paris, арт. ЛТ642</t>
  </si>
  <si>
    <t>Лоток горизонтальный ДЕЛЬТА серый, арт. ЛТ650</t>
  </si>
  <si>
    <t>Лоток для бумаг 3-х уровневый ErichKrause, материал стальной мэш, цвет серебро арт.22514</t>
  </si>
  <si>
    <t>Лоток для бумаг ErichKrause вертикальный, материал стальной мэш, черный арт.22509</t>
  </si>
  <si>
    <t>Лоток для бумаг серебр., мат-л стальной мэш, вертикальный,"Q-Connect" арт.KF00845</t>
  </si>
  <si>
    <t>Лоток сборный вертикальный 3 отделения черный арт.ЛТ81</t>
  </si>
  <si>
    <t>Магниты для доски "deVENTE. Английский алфавит" , 26 предметов 32х28х6мм, в пласт. пакете, арт. 8071902</t>
  </si>
  <si>
    <t>Магниты для доски "deVENTE. Магнитные фигуры" , 24 предмета, в пласт. пакете, арт. 8071904</t>
  </si>
  <si>
    <t>Магниты для доски "deVENTE. Магнитные цифры" , 26 предметов: цифры, знаки, символы, в пласт. пакете, арт. 8071903</t>
  </si>
  <si>
    <t>Маркер Double (с двумя разными наконечниками пулевидный/скошенный) перманентный 1/1-4 мм, черный арт.1666 0112</t>
  </si>
  <si>
    <t>Маркер для белой доски deVENTE шир.5,0 мм, круглый корпус, пулевидный наконечник, синий арт.5040305</t>
  </si>
  <si>
    <t>Маркер для компакт-дисков deVENTE 0,5мм, капиллярный, круглый корпус, черный арт.5041800</t>
  </si>
  <si>
    <t>Маркер-выделитель Attomex (1-4 мм), плоский корпус, скошенный наконечник, голубой арт.5045400</t>
  </si>
  <si>
    <t>Маркер-выделитель Bruno Visconti "LadyMarker" желтый арт.22-0058/01</t>
  </si>
  <si>
    <t>Маркер-выделитель FLEXI (1-5 мм), гибкий пишущий узел, пастельный голубой арт.8542 0158</t>
  </si>
  <si>
    <t>Маркер-выделитель FLEXI (1-5 мм), гибкий пишущий узел, пастельный зеленый арт.8542 0160</t>
  </si>
  <si>
    <t>Маркер-выделитель FLEXI (1-5 мм), гибкий пишущий узел, пастельный розовый арт.8542 0156</t>
  </si>
  <si>
    <t>Маркер-выделитель FLEXI (1-5 мм), гибкий пишущий узел, пастельный фиолетовый арт.8542 0157</t>
  </si>
  <si>
    <t>Маркер-краска deVENTE ЧЕРНЫЙ 4 мм, скошенный наконечник,  круглый алюминиевый корпус, нитро-основа арт.5043701</t>
  </si>
  <si>
    <t>Маркер-перманент 0,3мм /S красный арт.2634 0104</t>
  </si>
  <si>
    <t>Маркер-перманент 0,3мм /S синий  арт.2634 0106</t>
  </si>
  <si>
    <t>Маркер-перманент 0,3мм /S черный  арт.2634 0112</t>
  </si>
  <si>
    <t>Маркеры-выделители набор 4 шт deVENTE Pastel (1-5мм), плоский корпус,скошенный наконечник (пастельные цвета) арт.5045809</t>
  </si>
  <si>
    <t>Маркеры-выделители набор 4шт. FLEXI (1-5 мм), пастельные цвета,гибкий пиш.узел,в пласт.футляре с европодв. арт.8542 0402</t>
  </si>
  <si>
    <t>Мелки белые 4 шт/наб. "Енот в горах" арт.БМ_11127</t>
  </si>
  <si>
    <t>Мелки белые штучные KOH-I-NOOR  (цена за уп. 100 шт)  арт.111502</t>
  </si>
  <si>
    <t>"Квартет"</t>
  </si>
  <si>
    <t>Мелки белые штучные квадратные (цена за уп. 100 шт) арт.МШБ-100</t>
  </si>
  <si>
    <t>Механизм для сшивания желтый 34*150мм "FORPUS" арт.FO21354</t>
  </si>
  <si>
    <t>Механизм для сшивания зеленый 34*150мм "FORPUS" арт.FO21355</t>
  </si>
  <si>
    <t>Механизм для сшивания красный 34*150мм "FORPUS" арт.FO21353</t>
  </si>
  <si>
    <t>Мешок для обуви 1-отделение арт.МО-15 Салатовый</t>
  </si>
  <si>
    <t>Мешок для обуви 1-отделение арт.МО-20 Auto URBAN</t>
  </si>
  <si>
    <t>Мешок для обуви 1-отделение арт.МО-20 Яркие бабочки</t>
  </si>
  <si>
    <t>Моющая жидкость для полов и стен MR. PROPER 750мл "Океан" арт.81505776</t>
  </si>
  <si>
    <t>Мыло хозяйственное универсальное коричневое, твердое 72%, 250гр., упаковка флоу-пак арт.1699</t>
  </si>
  <si>
    <t>Мышь беспроводная SmartBuy ONE 345AG, черная, 3btn+Roll арт.SBM-345AG-G</t>
  </si>
  <si>
    <t>Мышь проводная SmartBuy ONE 214-K, черная, 2btn+Roll арт.SBM-214-K</t>
  </si>
  <si>
    <t>Набор   большой флю прозр (треуг.2шт,лин.30,тр-р) арт.НГ16</t>
  </si>
  <si>
    <t>Набор   малый цветной (треуг. 2шт, лин.16,тр-р) арт.НГ12</t>
  </si>
  <si>
    <t>Набор   средний флю прозр (треуг.2шт,лин.20,тр-р) арт.НГ14</t>
  </si>
  <si>
    <t>Набор канцелярских принадлежностей deVENTE "Pastel", скрепки, кнопки, зажимы, 86 предметов, арт. 4133801</t>
  </si>
  <si>
    <t>Набор лекал (25,17,12 см) флю прозр. (4цв.) в европодвесе арт.ЛК02</t>
  </si>
  <si>
    <t>Delucci</t>
  </si>
  <si>
    <t>Набор настольный из дерева Delucci, 10 предметов, темно-коричневый орех арт.MBn_10207</t>
  </si>
  <si>
    <t>Набор настольный из дерева Delucci, 4 предмета, красное дерево арт.MBn_04101</t>
  </si>
  <si>
    <t>Набор настольный из дерева Delucci, 6 предметов, темно-коричневый орех арт.MBn_06103</t>
  </si>
  <si>
    <t>Набор настольный из дерева Delucci, 7 предметов, красное дерево арт.MBn_07201</t>
  </si>
  <si>
    <t>Набор настольный из дерева Delucci, 8 предметов, орех арт.MBn_08209</t>
  </si>
  <si>
    <t>Набор настольный из дерева Delucci, 9 предметов, красное дерево арт.MBn_19201</t>
  </si>
  <si>
    <t>Наклейки 105*148  бел. 4/100 Rillprint  арт.89122</t>
  </si>
  <si>
    <t>Наклейки 210х297 водост. серебр. д/лаз. 1/20 Apli арт.10071</t>
  </si>
  <si>
    <t>Накопитель архив. 100мм (324х100х252) вертик. из гофр. картона, белый, фиолетовая печать Koroboff арт.100_фиол печ</t>
  </si>
  <si>
    <t>Накопитель архив. 75мм OfficeSpace, желтый арт.225419</t>
  </si>
  <si>
    <t>Насадка-держатель анатомическая "deVENTE Рыбка" для карандаша и ручки, силиконовая розовая, арт. 8070701</t>
  </si>
  <si>
    <t>Насадка-держатель анатомическая "deVENTE" для карандаша и ручки, силиконовая синяя, арт. 8070703</t>
  </si>
  <si>
    <t>Нож канцелярский ErichKrause металлический, auto-lock (18мм) дв. блистер арт.19158</t>
  </si>
  <si>
    <t>Нож канцелярский deVENTE 18 мм метал. направляющие, ручная блокир. лезвия, каучук.вставки, черный с красным арт. 4090310</t>
  </si>
  <si>
    <t>Ножницы ErichKrause "Dinamic" 21 см, асимметричные кольца, ассорти, карт. блистер арт.50031</t>
  </si>
  <si>
    <t>Ножницы ErichKrause "Joy" 13,5 см (для левшей) детские, карт. блистер арт.30790</t>
  </si>
  <si>
    <t>Ножницы ErichKrause "Joy" 13,5 см, детские, в пласт.стакане арт.15602</t>
  </si>
  <si>
    <t>Ножницы ErichKrause "Joy" 13,5 см, детские, карт. блистер арт.15033</t>
  </si>
  <si>
    <t>Ножницы deVENTE 21 см двуцветные прорезиненные кольца, в картонном блистере арт.4091319</t>
  </si>
  <si>
    <t>Ножницы deVENTE Cosmo 13 см детские, пластиковые кольца, защита на лезвиях, в картонном блистере арт.8010309</t>
  </si>
  <si>
    <t>Ножницы декоративные для творчества HALF CIRCLE  "KOH-I-NOOR" арт.9978001012BL</t>
  </si>
  <si>
    <t>Ножницы декоративные для творчества SMALL WAVE  "KOH-I-NOOR" арт.9978001010BL</t>
  </si>
  <si>
    <t>Ножницы декоративные для творчества ZIG ZAG "KOH-I-NOOR" арт.9978001007BL</t>
  </si>
  <si>
    <t>Обложка (перф.) картон под кожу зеленая А4 230г/м OfficeSpace (100л/уп) арт.BC7053</t>
  </si>
  <si>
    <t>Обложка (перф.) картон под кожу красная А4 230г/м OfficeSpace (100л/уп) арт.BC7055</t>
  </si>
  <si>
    <t>Обложка (перф.) пласт. прозрачная 150мкм (100л/уп ) OfficeSpace "PVC" арт.BC7063</t>
  </si>
  <si>
    <t>Обложка (перф.) пласт. прозрачная 200мкм (100л/уп ) OfficeSpace "PVC" арт.BC7066</t>
  </si>
  <si>
    <t>Обложка А4 д/учебников и тетрадей прозр.универс.ПВХ (302*580) 120мкм арт.2145.1</t>
  </si>
  <si>
    <t>Обложка д/журнала ПВХ (310*440) 300 мкм. бордовая арт.1894.жм-103</t>
  </si>
  <si>
    <t>Обложка д/журнала ПВХ (310*440) 300 мкм. красн. арт.1894.жм-102</t>
  </si>
  <si>
    <t>Обложка д/журнала ПВХ (310*440) 300 мкм. серая арт.1894.жм-106</t>
  </si>
  <si>
    <t>Обложка д/журнала ПВХ (310*440) 300 мкм. син. арт.1894.жм-101</t>
  </si>
  <si>
    <t>Обложка д/зач.кн. прозрачная ПВХ арт.1224.к</t>
  </si>
  <si>
    <t>Обложка д/контур.карт и атласов универс.  прозр. (292*560) ПВХ 120мкм арт.1380.1</t>
  </si>
  <si>
    <t>Обложка д/студ.билета ПВХ, прозрачная матовая арт.1832.180.М</t>
  </si>
  <si>
    <t>Обложка для букваря и учебников универс.прозр.ПВХ (267*512) 110мкм арт.1382.1</t>
  </si>
  <si>
    <t>Обложка для тетр. и дневников в тв. пер. универс. прозр. ПП (215*360) 80мкм с липким слоем арт.215.1</t>
  </si>
  <si>
    <t>Обложка для тетр. и дневников прозр. ПВХ (209*350) 110мкм  с цвет.клапанами арт.1048.2</t>
  </si>
  <si>
    <t>Обложка для тетр. и дневников прозр. ПВХ (209*350) 110мкм (цена за уп. 10шт.) арт.1048.1/10</t>
  </si>
  <si>
    <t>Обложка для тетр. и дневников прозр. ПВХ (209*350) 110мкм арт.1048.1</t>
  </si>
  <si>
    <t>Обложка для тетр. и дневников прозр. ПВХ (212*395) 50мкм с липким слоем (цена за уп. 10шт.) арт.44513</t>
  </si>
  <si>
    <t>Обложка для тетр. и дневников прозр. ПП (210*350) 70мкм арт.SP 210.3(210.70)</t>
  </si>
  <si>
    <t>Обложка для тетр. и дневников прозр. ПП (215*350) 100мкм deVENTE (цена за уп. 20 шт) арт.8051321</t>
  </si>
  <si>
    <t>Обложка для тетр. и дневников прозр. ПЭ (210*350) 60мкм арт.SP 15.00тт(210.60)</t>
  </si>
  <si>
    <t>Обложка для учебников универс.прозр. ПВХ (232*440) 70мкм с липким слоем (цена за уп. 10шт.) арт.44504</t>
  </si>
  <si>
    <t>Обложка для учебников универс.прозр. ПП (230*380) 80мкм с липким слоем арт.SP 230.1</t>
  </si>
  <si>
    <t>Обложка для учебников универс.прозр. ПП (265*450) 80мкм с липким слоем арт.SP 265.1</t>
  </si>
  <si>
    <t>Обложка для учебников универс.прозр.ПВХ (232*455) 110мкм  с цвет. клапанами арт.1114.2</t>
  </si>
  <si>
    <t>Обложка для учебников универс.прозр.ПВХ (232*455) 110мкм (цена за уп. 10 шт.) арт.1114.1/10</t>
  </si>
  <si>
    <t>Обложка для учебников универс.прозр.ПВХ (232*455) 110мкм арт.1114.1</t>
  </si>
  <si>
    <t>Обложка на паспорт "Твой стиль" АНГЛИЯ арт.2203.Т14</t>
  </si>
  <si>
    <t>Обложка на паспорт "Твой стиль" МОРЕ арт.2203.Т15</t>
  </si>
  <si>
    <t>Обложка на паспорт "Твой стиль" СЕРДЦА, с блестками арт.2203.ТБ3</t>
  </si>
  <si>
    <t>Обложка на паспорт "Твой стиль" СОВЫ арт.2203.Т13</t>
  </si>
  <si>
    <t>Обложка на паспорт "Твой стиль" ФЛАМИНГО арт.2203.Р8</t>
  </si>
  <si>
    <t>Обложка на паспорт OfficeSpace, ПВХ, ассорти арт.227681</t>
  </si>
  <si>
    <t>Обложка на паспорт PASSPORT, красный кожзам арт.2203.И-202</t>
  </si>
  <si>
    <t>Обложка на паспорт PASSPORT, черный кожзам арт.2203.И-207</t>
  </si>
  <si>
    <t>Обложка на паспорт ПВХ 110мкм, прозрачная арт.1071.К</t>
  </si>
  <si>
    <t>Обложка на паспорт ПВХ 180мкм, прозрачная матовая арт.2203.180.М</t>
  </si>
  <si>
    <t>Освежитель воздуха 300мл "Gold Wind" аэрозоль Океан арт.995139</t>
  </si>
  <si>
    <t>Освежитель воздуха 300мл "Gold Wind" аэрозоль После дождя арт.995140</t>
  </si>
  <si>
    <t>Оснастка для печати d=40мм, пластмассовая с крышкой арт.Printer R 40 индиго</t>
  </si>
  <si>
    <t>Очищающий комплекс для экранов Defender "Optima", 200мл, салфетка из микрофибры 20*20см арт.30598</t>
  </si>
  <si>
    <t>ТИКО-Пластик</t>
  </si>
  <si>
    <t>Пакет 26х24х9см мягкий пластик 140мкм ламинированный с пластиковой ручкой, Жемчужные цветочки арт.н00170634</t>
  </si>
  <si>
    <t>Пакет 26х24х9см мягкий пластик 140мкм ламинированный с пластиковой ручкой, Узор NEW арт.н00170632</t>
  </si>
  <si>
    <t>Пакет 30х20см ПВД 30мкм с вырубной неукрепленной ручкой, Твидовый микс арт.н00117490</t>
  </si>
  <si>
    <t xml:space="preserve">Пакет 30х30х9см мягкий пластик 140мкм ламинированный с пластиковой ручкой, Клетка барбери арт.н00129507  </t>
  </si>
  <si>
    <t>Пакет 30х30х9см мягкий пластик 140мкм ламинированный с пластиковой ручкой, Осенний кофе арт.н00170295</t>
  </si>
  <si>
    <t>Пакет 34х40см ПВД 70мкм с петлевой ручкой, Колумб арт.н00170032</t>
  </si>
  <si>
    <t>Пакет 36х37см ПВД 100мкм с пластиковой ручкой, Барбери-клетка арт.н00129222</t>
  </si>
  <si>
    <t xml:space="preserve">Пакет 36х37см ПВД 100мкм с пластиковой ручкой, Жадор арт.н00051925 </t>
  </si>
  <si>
    <t xml:space="preserve">Пакет 36х37см ПВД 100мкм с пластиковой ручкой, Олени арт.н00172569  </t>
  </si>
  <si>
    <t>Пакет 36х37см ПВД 100мкм с пластиковой ручкой, Роза красная арт.н00170169</t>
  </si>
  <si>
    <t xml:space="preserve">Пакет 36х37см ПВД 100мкм с пластиковой ручкой, Шанель  арт.н00112268  </t>
  </si>
  <si>
    <t>Пакет 40х30х9см мягкий пластик 140мкм ламинированный с пластиковой ручкой, Голландия арт.н00086542</t>
  </si>
  <si>
    <t>Пакет 40х30х9см мягкий пластик 140мкм ламинированный с пластиковой ручкой, Леопард NEW арт.н00152440</t>
  </si>
  <si>
    <t>Пакет 40х30х9см мягкий пластик 140мкм ламинированный с пластиковой ручкой, Лиловое сердце арт.н00086539</t>
  </si>
  <si>
    <t>Пакет 40х30х9см мягкий пластик 140мкм ламинированный с пластиковой ручкой, Нежные ромбы арт.н00129479</t>
  </si>
  <si>
    <t>Пакет 40х30х9см мягкий пластик 140мкм ламинированный с пластиковой ручкой, Пиано арт.н00137992</t>
  </si>
  <si>
    <t>Пакет 40х31см ПВД 60мкм глянцевый с вырубной ручкой, Лукошко гиацинтов арт.н00155971</t>
  </si>
  <si>
    <t>Пакет 40х31см ПВД 60мкм глянцевый с вырубной ручкой, Нарциссы с бантиком арт.н00155970</t>
  </si>
  <si>
    <t>Пакет 40х31см ПВД 60мкм ламинированный с вырубной ручкой, Взгляд леопарда арт.н00155974</t>
  </si>
  <si>
    <t>Пакет 40х31см ПВД 60мкм ламинированный с вырубной ручкой, Корзина роз арт.н00156019</t>
  </si>
  <si>
    <t>Пакет 40х31см ПВД 60мкм ламинированный с вырубной ручкой, Кофейный коллаж арт.н00151930</t>
  </si>
  <si>
    <t>Пакет 40х31см ПВД 60мкм ламинированный с вырубной ручкой, Осенние цветы арт.н00151950</t>
  </si>
  <si>
    <t xml:space="preserve">Пакет 40х36см ПНД 37мкм с петлевой ручкой, Мой медвежонок арт.н00089144 </t>
  </si>
  <si>
    <t>Пакет 42х38см ПВД 43мкм с петлевой ручкой, Золотая полоса эконом (штрих-код 4607112242616) арт.н00095179</t>
  </si>
  <si>
    <t xml:space="preserve">Пакет 42х38см ПНД 37мкм с петлевой ручкой, Де Люкс арт.н00021410  </t>
  </si>
  <si>
    <t xml:space="preserve">Пакет 42х38см ПНД 37мкм с петлевой ручкой, Мармеладка арт.н00100660  </t>
  </si>
  <si>
    <t>Пакет 42х38см ПНД 37мкм с петлевой ручкой, односторонний, Апельсиновый сок арт.н00137487</t>
  </si>
  <si>
    <t>Пакет 42х44см ПВД 70мкм с петлевой ручкой, Малина арт.н00117631</t>
  </si>
  <si>
    <t>Пакет 42х44см ПВД 70мкм с петлевой ручкой, Садовый букетик арт.н00166279</t>
  </si>
  <si>
    <t>Пакет 44х36см ПВД 43мкм с петлевой ручкой, Аспен новый арт.н00014869</t>
  </si>
  <si>
    <t>Пакет 44х40см ПНД 43мкм с петлевой ручкой,  Серебряные соты (штрих-код) арт.н00096314</t>
  </si>
  <si>
    <t xml:space="preserve">Пакет 44х40см ПНД 43мкм с петлевой ручкой, Синяя симфония арт.н00067688  </t>
  </si>
  <si>
    <t>Пакет 44х40см ПНД 43мкм с петлевой ручкой, Цветочный ковер NEW арт.н00117201</t>
  </si>
  <si>
    <t>Пакет 45х38см ПВД 60мкм глянцевый с вырубной ручкой, Бордовые цветы арт.н00170039</t>
  </si>
  <si>
    <t>Пакет 45х38см ПВД 60мкм глянцевый с вырубной ручкой, Волк арт.н00170042</t>
  </si>
  <si>
    <t>Пакет 45х38см ПВД 60мкм ламинированный с вырубной ручкой, Розы на холсте арт.н00117587</t>
  </si>
  <si>
    <t>Пакет 46х46см ПВД 50мкм с петлевой ручкой, Демидофф лайт (штрих-код) арт.н00095186</t>
  </si>
  <si>
    <t>Пакет 47,5х43см ПВД 47мкм с петлевой ручкой, Самсон лайт (штрих-код) арт.н00095176</t>
  </si>
  <si>
    <t>Пакет майка ПНД 38см+20смх72см 18мк Техника желтый арт.387Жел</t>
  </si>
  <si>
    <t>Пакет майка ПНД 43см+18смх67см 18мк Техника черный арт.387В</t>
  </si>
  <si>
    <t>Пакет мусорный 120л (10шт) ПВД Mirpack Стройка,70мкм, 70*110см, цв.черный арт.S12010910</t>
  </si>
  <si>
    <t>Пакет подарочный 11,1х13,7х6,2см бумажный, "Таксы", матовая ламинация арт.2-323/01</t>
  </si>
  <si>
    <t>Пакет подарочный 11,1х13,7х6,2см бумажный, "Щенок", матовая ламинация арт.2-322/01</t>
  </si>
  <si>
    <t>Пакет подарочный 17,8х22,5х10,2см бумажный, "Венеция", матовая ламинация арт.2-136/02</t>
  </si>
  <si>
    <t>Пакет подарочный 17,8х22,5х10,2см бумажный, "Город и цвет", матовая ламинация арт.2-134/2</t>
  </si>
  <si>
    <t>Пакет подарочный 17,8х22,5х10,2см бумажный, "Природа", матовая ламинация, фольга арт.2-133/2</t>
  </si>
  <si>
    <t>Пакет подарочный 17,8х22,5х10,2см бумажный, "Щенок", матовая ламинация арт.2-322/02</t>
  </si>
  <si>
    <t>Пакет подарочный 26x32x10 см бумажный deVENTE "Сады Эдема", с фольгированием, 210 г/м2, арт. 9041974</t>
  </si>
  <si>
    <t>Пакет подарочный 26x32x10 см бумажный deVENTE "Стильный горошек", 210 г/м2, конгрев, фольгирование, арт. 9041907</t>
  </si>
  <si>
    <t>Пакет подарочный 26х32,5х13см бумажный, "Венеция", матовая ламинация арт.2-136/03</t>
  </si>
  <si>
    <t>Пакет подарочный 26х32,5х13см бумажный, "Котенок", матовая ламинация арт.2-321/03</t>
  </si>
  <si>
    <t>Папка  А4 deVENTE Pastel, 6 отделений, 550 мкм, сиреневая, арт. 3078804</t>
  </si>
  <si>
    <t>Папка  А4 с 10 вкл. ПЛОТНАЯ зеленая арт.05М-10K</t>
  </si>
  <si>
    <t>Папка  А4 с 20 вкл. Attomex, 500 мкм, вкладыши 30 мкм, "песок", зеленая, арт. 3101401</t>
  </si>
  <si>
    <t>Папка  А4 с 20 вкл. Attomex, 500 мкм, вкладыши 30 мкм, "песок", серая, арт. 3101403</t>
  </si>
  <si>
    <t>Папка  А4 с 20 вкл. deVENTE "Crystal Dream", 600 мкм, искрящаяся фактура, полупрозр. бирюзовая с паттерном арт. 3101906</t>
  </si>
  <si>
    <t>Папка  А4 с 20 вкл. deVENTE "Crystal Dream", 600 мкм, искрящаяся фактура, полупрозр. сиреневая с паттерном арт. 3101907</t>
  </si>
  <si>
    <t>Папка  А4 с 20 вкл. deVENTE "Pastel", 500 мкм, с клапаном на липучке, фактура "песок", бирюзовая арт. 3101801</t>
  </si>
  <si>
    <t xml:space="preserve">Папка  А4 с 20 вкл. deVENTE "Pastel", 500 мкм, с клапаном на липучке, фактура "песок", желтая арт. 3101800 </t>
  </si>
  <si>
    <t>Папка  А4 с 20 вкл. deVENTE "Pastel", 500 мкм, с клапаном на липучке, фактура "песок", розовая арт. 3101802</t>
  </si>
  <si>
    <t>Папка  А4 с 20 вкл. deVENTE "Pastel", 500 мкм, с клапаном на липучке, фактура "песок", сиреневая арт. 3101803</t>
  </si>
  <si>
    <t>Папка  А4 с 40 вкл. Attomex, 600 мкм, вкладыши 30 мкм, "песок", зеленая, арт. 3103401</t>
  </si>
  <si>
    <t>Папка  А4 с 40 вкл. Attomex, 600 мкм, вкладыши 30 мкм, "песок", красная, арт. 3103400</t>
  </si>
  <si>
    <t>Папка  А4 с 60вкл. ПЛОТНАЯ синяя 0.7 мм арт.07М-60K</t>
  </si>
  <si>
    <t>Папка "Меню" с 10 вварными файлами черная 220*320*15 мм арт.2137.М-107</t>
  </si>
  <si>
    <t>Папка А4 на 2 кольцах 16 мм Attomex пластик. 500 мкм, "песок", красный арт. 3081400</t>
  </si>
  <si>
    <t>Папка А4 на 2 кольцах 24мм пластик. ErichKrause  GLANCE NEON ассорти арт.47137</t>
  </si>
  <si>
    <t>Папка А4 на 2 кольцах 24мм пластик. ErichKrause  GLANCE VIVID ассорти арт.47133</t>
  </si>
  <si>
    <t>Папка А4 на 2 кольцах 24мм пластик. ErichKrause Cubes арт.47154</t>
  </si>
  <si>
    <t>Папка А4 на 2 кольцах 24мм пластик. ErichKrause Dots арт.47164</t>
  </si>
  <si>
    <t>Папка А4 на 2 кольцах 24мм пластик. ErichKrause Lines арт.47145</t>
  </si>
  <si>
    <t>Папка А4 на 2 кольцах 24мм пластик. ErichKrause Phloxes арт.47150</t>
  </si>
  <si>
    <t>Папка А4 на 2 кольцах 25мм deVENTE "Pastel", 650 мкм, внутренн.карман, фактура "песок", бирюзовая, арт. 3081801</t>
  </si>
  <si>
    <t>Папка А4 на 2 кольцах 25мм deVENTE "Pastel", 650 мкм, внутренн.карман, фактура "песок", розовая, арт. 3081802</t>
  </si>
  <si>
    <t>Папка А4 на 4 кольцах 25мм "песок" пластик. черная арт.071Q-4K</t>
  </si>
  <si>
    <t>Папка А4 на 4 кольцах 26мм ПЛОТНАЯ пластик. красная арт.07Q-4K</t>
  </si>
  <si>
    <t>Папка А4 на резинках ErichKrause "Cubes" арт.47211</t>
  </si>
  <si>
    <t>Папка А4 на резинках ErichKrause "Lines" арт.47201</t>
  </si>
  <si>
    <t>Папка А4 на резинках ErichKrause "Phloxes" арт.47205</t>
  </si>
  <si>
    <t>Папка А4 на резинках пластик. "эконом" 0,45мм, зеленая арт. 045-PR-E</t>
  </si>
  <si>
    <t>Папка А4 с ручками, на молнии, 350х265х45мм, ткань арт.ПМД 2-20 Paradise</t>
  </si>
  <si>
    <t>Папка А4 с ручками, на молнии, 350х265х45мм, ткань арт.ПМД 2-20 Silver car</t>
  </si>
  <si>
    <t>Папка А4 с ручками, на молнии, 350х265х45мм, ткань арт.ПМД 2-20 Underground</t>
  </si>
  <si>
    <t>Папка А4 с ручками, на молнии, 350х265х45мм, ткань арт.ПМД 2-20 Автомонстр</t>
  </si>
  <si>
    <t>Папка А4 с ручками, на молнии, 350х265х45мм, ткань арт.ПМД 2-20 Плюшевый мишка</t>
  </si>
  <si>
    <t>Папка А4 с ручками, на молнии, 350х265х45мм, ткань арт.ПМД 2-20 Ромашки на джинсе</t>
  </si>
  <si>
    <t>Папка А4 с ручками, на молнии, 350х265х45мм, ткань арт.ПМД 2-20 Супер ананас</t>
  </si>
  <si>
    <t>Папка А4 с ручками, на молнии, 350х265х45мм, ткань арт.ПМД 2-42 Черный-ярко-голубой</t>
  </si>
  <si>
    <t>Папка А4 с ручками, на молнии, ткань арт.ПМД 1-01 черная</t>
  </si>
  <si>
    <t>Папка А4+ с пластик. ручками, 34,5х30,5 см "deVENTE Exotic Selection", пластик с текстильным расширением, арт. 8053942</t>
  </si>
  <si>
    <t>Папка А4+ с пластик. ручками, 34,5х30,5 см "deVENTE Superior", пластик с текстильным расширением, арт. 8053945</t>
  </si>
  <si>
    <t>Папка А5+ на резинках ErichKrause "Cubes" арт.47212</t>
  </si>
  <si>
    <t>Папка А5+ на резинках ErichKrause "Dots" арт.47220</t>
  </si>
  <si>
    <t>Папка А5+ на резинках ErichKrause "Lines" арт.47202</t>
  </si>
  <si>
    <t>Папка А5+ на резинках ErichKrause "Phloxes" арт.47206</t>
  </si>
  <si>
    <t>Папка А5+ с пластик. ручками, 28х23 см "deVENTE College Bear", пластик с текстильным расширением, арт. 8053949</t>
  </si>
  <si>
    <t>Папка А5+ с пластик. ручками, 28х23 см "deVENTE College Girl", пластик с текстильным расширением, арт. 8053827</t>
  </si>
  <si>
    <t>Папка А5+ с пластик. ручками, 28х23 см "deVENTE I Meow You", пластик с текстильным расширением, арт. 8053947</t>
  </si>
  <si>
    <t>Папка А5+ с пластик. ручками, 28х23 см "deVENTE Iron Spirit", пластик с текстильным расширением, арт. 8053950</t>
  </si>
  <si>
    <t>Папка А5+ с пластик. ручками, 28х23 см "deVENTE Street Racing", пластик с текстильным расширением, арт. 8053951</t>
  </si>
  <si>
    <t>Папка адресная бумвинил А4 "На подпись" 220*310мм, бордовая арт.APbv_388 (160234)</t>
  </si>
  <si>
    <t>Папка адресная бумвинил А4 220*310мм, без нанесения, бордовая арт.277209</t>
  </si>
  <si>
    <t>Папка д/документов "Bergamo" кожзам, на молнии, 4 отделения, тиснение крокодил арт.ПА_КЗ_664</t>
  </si>
  <si>
    <t>Папка д/рисования А2 с ручкой  арт.ПР-2 красный</t>
  </si>
  <si>
    <t>Папка д/рисования А2 с ручкой  арт.ПР-2 темно-синий</t>
  </si>
  <si>
    <t>Папка д/рисования А3 с ручкой  арт.ПР-3 темно-синий</t>
  </si>
  <si>
    <t>Папка д/рисования А3 с ручкой  арт.ПР-3 черный</t>
  </si>
  <si>
    <t>Папка д/рисования А3 с ручкой, с внутр карманом на молнии  арт.ПР 3-8 Серый</t>
  </si>
  <si>
    <t>Папка д/рисования и труда А4 с откидной планкой арт.ПТ-Р6 Красный</t>
  </si>
  <si>
    <t>Папка д/рисования и труда А4 с откидной планкой арт.ПТ-Р6 Темно-синий</t>
  </si>
  <si>
    <t>Папка д/рисования и труда А4, 1 отделение, на молнии, картон, арт. ПТ-Р4 Drive car серый</t>
  </si>
  <si>
    <t>Папка д/рисования и труда А4, 1 отделение, на молнии, картон, арт. ПТ-Р4 Машина в огне 2</t>
  </si>
  <si>
    <t>Папка д/рисования и труда А4, 1 отделение, на молнии, картон, арт. ПТ-Р4 Пять котят</t>
  </si>
  <si>
    <t>Папка на молнии ErichKrause Travel "Fizzy Neon" арт.47076</t>
  </si>
  <si>
    <t>Папка на молнии ErichKrause А4 "Fizzy Neon" арт.47070</t>
  </si>
  <si>
    <t>Папка на молнии ErichKrause В5 "Fizzy Neon" арт.47073</t>
  </si>
  <si>
    <t>Папка на молнии А4 deVENTE (330х245х30 мм), Crystal Dream с расширением, 180 мкм, искрящаяся желтая, арт. 3072903</t>
  </si>
  <si>
    <t>Папка на молнии А4 арт.ПМ 04</t>
  </si>
  <si>
    <t>Папка на молнии А5 арт.ПМ 05</t>
  </si>
  <si>
    <t>Папка с боковым заж. А4 Attomex "песок" 500 мкм, зеленая арт. 3110401</t>
  </si>
  <si>
    <t>Папка с боковым заж. А4 Attomex "песок" 500 мкм, красная арт. 3110400</t>
  </si>
  <si>
    <t>Папка с боковым заж. А4 Attomex "песок" 500 мкм, серая арт. 3110403</t>
  </si>
  <si>
    <t>Папка с боковым зажимом А4 0,7 мм  синяя арт.07Z-KL</t>
  </si>
  <si>
    <t>Папка с боковым зажимом А4 ErichKrause "GLANCE NEON" арт.47185</t>
  </si>
  <si>
    <t>Папка с боковым зажимом А4 ErichKrause "GLANCE VIVID" арт.47184</t>
  </si>
  <si>
    <t>Папка с пруж. скоросшивателем А4 пластик ErichKrause "GLANCE NEON" ассорти арт.47174</t>
  </si>
  <si>
    <t>Папка с пруж.скоросшивателем пластик. А4 Attomex 500 мкм, "песок", зеленая, арт. 3111401</t>
  </si>
  <si>
    <t>Папка с пруж.скоросшивателем пластик. А4 с внутренним карманом 0,7мм  синяя арт.07S-К</t>
  </si>
  <si>
    <t>Папка с пруж.скоросшивателем пластик. А4 с внутренним карманом 0,7мм  черная арт.07S-К</t>
  </si>
  <si>
    <t>Папка-вкладыш (файл) А3 (перфорация по короткой стороне) арт.ПФ-0003</t>
  </si>
  <si>
    <t>Папка-вкладыш (файл) А3 deVENTE (перфорация по длинной стороне) арт.3050802</t>
  </si>
  <si>
    <t>Папка-вкладыш (файл) А4 110 мкм  арт.ПФ-0110</t>
  </si>
  <si>
    <t>Папка-вкладыш (файл) А4 180 мкм на 250 листов с перфорацией арт.2305</t>
  </si>
  <si>
    <t>Папка-вкладыш (файл) А4 30 мкм "PIXEL" арт.ПФ-0002</t>
  </si>
  <si>
    <t>Папка-вкладыш (файл) А4 30 мкм BERLINGO арт. S1000</t>
  </si>
  <si>
    <t>Папка-вкладыш (файл) А4 35 (30) мкм deVENTE, гладкая фактура, арт. 3050316</t>
  </si>
  <si>
    <t>Папка-вкладыш (файл) А4 40 мкм deVENTE, гладкая фактура  арт. 3050306</t>
  </si>
  <si>
    <t>Папка-вкладыш (файл) А4 45 мкм "Rick Raider" арт.ПФ-1045</t>
  </si>
  <si>
    <t>Папка-вкладыш (файл) А4 60 мкм "Rick Raider" арт.ПФ-1060</t>
  </si>
  <si>
    <t>Папка-вкладыш (файл) А5 арт.ПФ-0005</t>
  </si>
  <si>
    <t>Папка-конверт Travel 255*130*9мм на кнопке ErichKrause Classic, полупрозрачная арт.47055</t>
  </si>
  <si>
    <t>Папка-конверт А4 ErichKrause "Glossy Clear" пластик., прозрачн., вертик., с подвесом и клапаном арт.44411</t>
  </si>
  <si>
    <t>Папка-конверт А4 на кнопке ErichKrause "Classic" непрозрач., ассорти арт.47045</t>
  </si>
  <si>
    <t>Папка-конверт А4 на кнопке ErichKrause "Classic" непрозрач., желтый арт.47109</t>
  </si>
  <si>
    <t>Папка-конверт А4 на кнопке ErichKrause "Classic" непрозрач., зеленый арт.47111</t>
  </si>
  <si>
    <t>Папка-конверт А4 на кнопке ErichKrause "Classic" непрозрач., красный арт.47108</t>
  </si>
  <si>
    <t>Папка-конверт А4 на кнопке ErichKrause "Classic" непрозрач., синий арт.47110</t>
  </si>
  <si>
    <t>Папка-конверт А4 на кнопке ErichKrause "Diagonal Black Line" непрозрач., черный арт.49869</t>
  </si>
  <si>
    <t>Папка-конверт А4 на кнопке ErichKrause "Diagonal Pastel" непрозрач., ассорти арт.50322</t>
  </si>
  <si>
    <t>Папка-конверт А4 на кнопке ErichKrause "Diagonal Vivid" непрозрач., ассорти арт.50316</t>
  </si>
  <si>
    <t>Папка-конверт А4 на кнопке ErichKrause "Vivid" непрозрач., ассорти арт.47112</t>
  </si>
  <si>
    <t>Папка-конверт А4 на кнопке ErichKrause "Vivid" непрозрач., бирюзовый арт.47114</t>
  </si>
  <si>
    <t>Папка-конверт А4 на кнопке ErichKrause "Vivid" непрозрач., розовая арт.47115</t>
  </si>
  <si>
    <t>Папка-конверт А4 на кнопке ErichKrause "Vivid" непрозрач., фиолетовый арт.47113</t>
  </si>
  <si>
    <t>Папка-конверт А4 на кнопке ErichKrause Cubes арт.47065</t>
  </si>
  <si>
    <t>Папка-конверт А4 на кнопке deVENTE  Crystal Dream, 180 мкм, полупрозрачная, искрящаяся бирюзовая, арт. 3071971</t>
  </si>
  <si>
    <t>Папка-конверт А4 на кнопке deVENTE  Crystal Dream, 180 мкм, полупрозрачная, искрящаяся сиреневая, арт. 3071972</t>
  </si>
  <si>
    <t>Папка-конверт А4 на кнопке deVENTE  Pastel, 350 мкм, плотная, непрозрачная, внешний карман, бирюзовый, арт. 3071852</t>
  </si>
  <si>
    <t>Папка-конверт А4 на кнопке deVENTE  Pastel, 350 мкм, плотная, непрозрачная, внешний карман, розовый, арт. 3071853</t>
  </si>
  <si>
    <t>Папка-конверт А4 на кнопке deVENTE  Pastel, 350 мкм, плотная, непрозрачная, внешний карман, сиреневый, арт. 3071854</t>
  </si>
  <si>
    <t>Папка-конверт А4 на кнопке deVENTE  Rainbow, 350 мкм, плотная, непрозрачная, розовый с салатовым, арт. 3071856</t>
  </si>
  <si>
    <t>Папка-конверт А4 на кнопке deVENTE Car, 150 мкм, непрозрачная с рисунком, арт. 3071902</t>
  </si>
  <si>
    <t>Папка-конверт А4 на кнопке deVENTE Championship, 150 мкм, непрозрачная с рисунком, арт. 3071956</t>
  </si>
  <si>
    <t>Папка-конверт А4 на кнопке deVENTE Football league, 150 мкм, непрозрачная с рисунком, арт. 3071932</t>
  </si>
  <si>
    <t>Папка-конверт А4 на кнопке deVENTE Football time, 150 мкм, непрозрачная с рисунком, арт. 3071892</t>
  </si>
  <si>
    <t>Папка-конверт А4 на кнопке deVENTE I m happy with you, 150 мкм, непрозрачная с рисунком, арт. 3071957</t>
  </si>
  <si>
    <t>Папка-конверт А4 на кнопке deVENTE My cat, 150 мкм, непрозрачная с рисунком, арт. 3071934</t>
  </si>
  <si>
    <t>Папка-конверт А4 на кнопке deVENTE Network, 150 мкм, непрозрачная с рисунком, арт. 3071951</t>
  </si>
  <si>
    <t>Папка-конверт А4 на кнопке deVENTE Pastel розовая, 150 мкм, непрозрачная с рисунком, арт. 3071923</t>
  </si>
  <si>
    <t>Папка-конверт А4 на кнопке deVENTE Pastel сиренево-бирюзовая, 150 мкм, непрозрачная с рисунком, арт. 3071936</t>
  </si>
  <si>
    <t>Папка-конверт А4 на кнопке deVENTE Pastel, 150 мкм, непрозрачная с рисунком, арт. 3071922</t>
  </si>
  <si>
    <t>Папка-конверт А4 на кнопке deVENTE Pink flamingo, 150 мкм, непрозрачная с рисунком, арт. 3071954</t>
  </si>
  <si>
    <t>Папка-конверт А4 на кнопке deVENTE Red car, 150 мкм, непрозрачная с рисунком, арт. 3071929</t>
  </si>
  <si>
    <t>Папка-конверт А4 на кнопке deVENTE Stylish collection, 150 мкм, непрозрачная с рисунком, арт. 3071950</t>
  </si>
  <si>
    <t>Папка-конверт А4 с кнопкой матовый арт.КНК-180-А матов</t>
  </si>
  <si>
    <t>Папка-конверт А5 (240х170мм) на кнопке deVENTE Born to be original, 150 мкм, непрозрачная с рисунком, арт. 3071991</t>
  </si>
  <si>
    <t>Папка-конверт А5 (240х170мм) на кнопке deVENTE Cat with glasses, 150 мкм, непрозрачная с рисунком, арт. 3071962</t>
  </si>
  <si>
    <t>Папка-конверт А5 (240х170мм) на кнопке deVENTE Football league, 150 мкм, непрозрачная с рисунком, арт. 3071961</t>
  </si>
  <si>
    <t>Папка-конверт А5 (240х170мм) на кнопке deVENTE Kitten, 150 мкм, непрозрачная с рисунком, арт. 3071941</t>
  </si>
  <si>
    <t>Папка-конверт А5 (240х170мм) на кнопке deVENTE Leopard, 150 мкм, непрозрачная с рисунком, арт. 3071942</t>
  </si>
  <si>
    <t>Папка-конверт А5 (240х170мм) на кнопке deVENTE Swan, 150 мкм, непрозрачная с рисунком, арт. 3071996</t>
  </si>
  <si>
    <t>Папка-конверт А5 (240х170мм) на кнопке deVENTE Tropical night, 150 мкм, непрозрачная с рисунком, арт. 3071914</t>
  </si>
  <si>
    <t>Папка-конверт А5 (240х170мм) на кнопке deVENTE WOW, 150 мкм, непрозрачная с рисунком, арт. 3071944</t>
  </si>
  <si>
    <t>Папка-конверт А5 (260х140мм) на кнопке deVENTE Business document, 150 мкм, непрозрачная с рисунком, арт. 3071500</t>
  </si>
  <si>
    <t>Папка-конверт А5 (260х140мм) на кнопке deVENTE Next stop is Paris, 150 мкм, непрозрачная с рисунком, арт. 3071967</t>
  </si>
  <si>
    <t>Папка-конверт А5 (260х140мм) на кнопке deVENTE Planet travel, 150 мкм, непрозрачная с рисунком, арт. 3071968</t>
  </si>
  <si>
    <t>Папка-конверт А5+ на кнопке ErichKrause "Glossy Neon", полупрозрачн., ассорти арт.50305</t>
  </si>
  <si>
    <t>Папка-конверт В5+ на кнопке 282*210 ErichKrause Vivid, полупрозрачная, ассорти арт.47120</t>
  </si>
  <si>
    <t>Папка-конверт С6 на кнопке 203*129 ErichKrause Classic, полупрозрачная, ассорти арт.47054</t>
  </si>
  <si>
    <t>Папка-конверт С6 на кнопке 203*129 ErichKrause Vivid, полупрозрачная, ассорти арт.47122</t>
  </si>
  <si>
    <t>Папка-скоросшиватель А4 ErichKrause Fizzy Vivid с прозр.верхом с перф., ассорти арт.50060</t>
  </si>
  <si>
    <t>Папка-уголок А4 deVENTE Crystal Dream, 180 мкм, полупрозрачная, искрящаяся бирюзовая арт. 3074910</t>
  </si>
  <si>
    <t>Папка-уголок А4 deVENTE Crystal Dream, 180 мкм, полупрозрачная, искрящаяся розовая арт. 3074908</t>
  </si>
  <si>
    <t>Папка-уголок А4 deVENTE Rainbow, 180 мкм, гладкая фактура, непрозрачная, голубая с розовым арт. 3074800</t>
  </si>
  <si>
    <t>Папка-уголок А5 Berlingo, 180мкм, зеленая арт.AGp_05104</t>
  </si>
  <si>
    <t>Перчатки трикотажн. с ПВХ покрытием Люкс "Точка", 5 нитей, черные арт.Люкс_5нитей_черн</t>
  </si>
  <si>
    <t>Перчатки хозяйственные латексные, размер L, желтые арт.Латексные_L</t>
  </si>
  <si>
    <t>Перчатки хозяйственные латексные, размер XL, желтые арт.Латексные_XL</t>
  </si>
  <si>
    <t>Перчатки хозяйственные латексные, размер М, желтые арт.Латексные_М</t>
  </si>
  <si>
    <t>Перья плакатные Greenwich Line, 5шт.+ держатель арт.251597</t>
  </si>
  <si>
    <t>Планинг недатир. deVENTE "Wild" 310*145 мм, 128 стр, темно-кор., крем. бумага, тв. обл., евроспираль арт.2039404</t>
  </si>
  <si>
    <t>Планшет А4 Berlingo "Craft" с верх.зажимом, ламинир., ассорти арт.APp_04400</t>
  </si>
  <si>
    <t>Планшет А4 Berlingo "Hyper" с верх.зажимом, ламинир., ассорти арт.APp_04809</t>
  </si>
  <si>
    <t>Планшет с перфорацией для 20 монет, диаметр окошка 40мм арт.2867/20</t>
  </si>
  <si>
    <t>Пленка для ламинирования А4/100 глянцевая арт.А4/2*100 mic</t>
  </si>
  <si>
    <t>Пленка для ламинирования А4/200 ARGO, арт.А4/2*200 mic clear</t>
  </si>
  <si>
    <t>Пленка стрейч пятислойная 450мм 17мкм, 180 метров арт. 101/90А/6</t>
  </si>
  <si>
    <t>Подставка для канцелярских принадлежностей deVENTE 10х9х9,3 см, с магнитным держ. для скрепок, салатовая, арт. 4104721</t>
  </si>
  <si>
    <t>Подставка для книг металлическая deVENTE "Таблица умножения", 210х190 мм, зеленая, арт. 8063902</t>
  </si>
  <si>
    <t>Портфель  "Palermo" кожзам, кайман, черный, 3 отделения, метал. замок, с ремнем арт.По_КЗ_674</t>
  </si>
  <si>
    <t>Портфель б/отделений пластиковый А4 ErichKrause "CLASSIC" синий арт.47248</t>
  </si>
  <si>
    <t>Портфель б/отделений пластиковый А4 ErichKrause "CLASSIC" черный арт.47247</t>
  </si>
  <si>
    <t>Портфель б/отделений пластиковый А4 ErichKrause "GLANCE NEON" ассорти арт.47252</t>
  </si>
  <si>
    <t>Портфель-картотека ErichKrause "GLANCE NEON", на кнопке, Check size 260х138х25мм, 12 отделений арт.47239</t>
  </si>
  <si>
    <t>Портфель-картотека А4 ErichKrause "GLANCE NEON", на резинках, 12 отделений арт.43120</t>
  </si>
  <si>
    <t>Развивающий географический атлас "Мир вокруг тебя", арт. РА069</t>
  </si>
  <si>
    <t>Развивающий комплект "Игрушки" (Книжка+игра), 3+ арт.76171</t>
  </si>
  <si>
    <t>Разделитель deVENTE пластиковый, А4, 5 цветов, цифры 1-5 арт.3051506</t>
  </si>
  <si>
    <t>Разделитель д/документов 105х240мм. карт.(100шт.), ассорти, без маркир. арт.13395В</t>
  </si>
  <si>
    <t>Разделитель д/документов на 31 деление А4 "Durable" пласт., с маркир., серый арт.652310</t>
  </si>
  <si>
    <t>Ручка "REGAL 11" шариковая (серия Elizabeth) в футляре, черный корпус арт.X-11-005B</t>
  </si>
  <si>
    <t>Ручка "REGAL 12" перьевая  (серия George) в футляре, серебристый корпус арт.L-12-005F</t>
  </si>
  <si>
    <t>Ручка "REGAL 12" шариковая  (серия George) в футляре, черный корпус арт.L-12-200B</t>
  </si>
  <si>
    <t>Ручка "REGAL 122" перьевая (серия Edward) в футляре, красный корпус арт.PB10-122-501F</t>
  </si>
  <si>
    <t>Ручка "REGAL 122" перьевая (серия Edward) в футляре, синий корпус арт.PB10-122-502F</t>
  </si>
  <si>
    <t>Ручка "REGAL 122" шариковая (серия Edward) в футляре, черный корпус золотой колпачок арт.РВ10-122-919B</t>
  </si>
  <si>
    <t>Ручка "REGAL 16" набор (шариковая+перьевая) в футляре (серия Buckingham) темно-синий корпус арт.L-16-202FB</t>
  </si>
  <si>
    <t>Ручка "REGAL 16" перьевая (серия Buckingham) в футляре, черная арт.L-16-200F</t>
  </si>
  <si>
    <t>Ручка "REGAL 16" роллер (серия Buckingham) в футляре, черная арт.L-16-200R</t>
  </si>
  <si>
    <t>Ручка "REGAL 16" шариковая (серия Buckingham) в футляре, серебристый корпус, золотые вставки арт.L-16-603B</t>
  </si>
  <si>
    <t>Ручка "REGAL 19" шариковая (серия British Museum) в футляре, черный корпус арт.L-19-200B</t>
  </si>
  <si>
    <t>Ручка "REGAL 21" набор (шариковая+перьевая) в футляре (серия Montgomery), красный корпус арт.L-21-501FB</t>
  </si>
  <si>
    <t>Ручка "REGAL 21" перьевая (серия Montgomery) в футляре, черный корпус арт.L-21-200F</t>
  </si>
  <si>
    <t>Ручка "REGAL 284" перьевая (серия Hyde) в футляре, черный корпус арт.PB10-284-200F</t>
  </si>
  <si>
    <t>Ручка "REGAL 35" перьевая (серия Charles) в футляре, бордовый корпус арт.L-35-501F</t>
  </si>
  <si>
    <t>Ручка "REGAL 35" шариковая (серия Charles) в футляре, бордовая арт.L-35-501B</t>
  </si>
  <si>
    <t>Ручка "REGAL 502" набор (шариковая+перьевая) в футляре (серия Jennings), черный корпус арт.L-502-424FB</t>
  </si>
  <si>
    <t>Ручка "REGAL 502" шариковая (серия Jennings) в футляре, черный корпус арт.L-502-424B</t>
  </si>
  <si>
    <t>Ручка "REGAL 503" перьевая (серия Hadrian) в футляре, черный корпус арт.L-503-1611F</t>
  </si>
  <si>
    <t>Montex</t>
  </si>
  <si>
    <t>Ручка Montex автомат. Canan с син. cтержнем металлическая, мет.клип, мет наконечник, корпус ассорти арт.Canan</t>
  </si>
  <si>
    <t>Ручка Montex автомат. GLAME с син. cтержнем, мет. наконечник, корпус ассорти арт.GLAME</t>
  </si>
  <si>
    <t>Ручка Montex автомат. Hyscale с син. стерж, пластм.клип, мет. нак-к, треуг.проф., корп.асс-ти, в блистере арт.Hyscale_BL</t>
  </si>
  <si>
    <t>Ручка Montex автомат. Hyscale с син. стержнем, пластм.клип, мет. наконечник, треуг. профиль, корпус ассорти арт.Hyscale</t>
  </si>
  <si>
    <t>Ручка Montex автомат. Regal с син. стерж., метал., мет.клип, мет. нак-к, рез. держ., корп.асс-ти, в блистере арт.Rega_BL</t>
  </si>
  <si>
    <t>Ручка Montex автомат. Runner с син. cтержнем мет.клип, мет наконечник , резин. держатель, корпус ассорти арт.Runner</t>
  </si>
  <si>
    <t>Ручка Montex автомат. Young с син. стержнем, мет.клип, мет. нак-ник, резин. держ-ль, корп.ас-ти, в блистере арт.Young_BL</t>
  </si>
  <si>
    <t>Ручка Montex набор 02 шт. Young шариков. (син. + красн. стержень) в блистере арт.Young_02BL</t>
  </si>
  <si>
    <t>Ручка Montex набор 03 шт. Elite шариков. (син. + красн.+ черн. стержень) в блистере арт.Elite_03BL</t>
  </si>
  <si>
    <t>Ручка Montex набор 03 шт. Stylish шариков. (син. + красн.+ черн. стержень) в блистере арт.Stylish_03BL</t>
  </si>
  <si>
    <t>Ручка Montex шариковая A to Z с син. стержнем, корпус ассорти арт.A to Z</t>
  </si>
  <si>
    <t>Ручка Montex шариковая Craft с син. стержнем, мет. клип, корпус ассорти арт.Craft</t>
  </si>
  <si>
    <t>Ручка Montex шариковая Elite с син. стержнем, мет. клип, мет. наконечник, резин. держатель, в блистере арт.Elite_BL</t>
  </si>
  <si>
    <t>Ручка Montex шариковая Hyslim  с син. cтержнем, резин. держатель арт.Hyslim син.</t>
  </si>
  <si>
    <t xml:space="preserve">Ручка Montex шариковая Impression Gold с син. стержнем, мет. клип, черный корпус арт.Impression Gold </t>
  </si>
  <si>
    <t>Ручка Montex шариковая Mega LCD с син. стержнем, мет. наконечник, резин. держатель арт.Mega LCD</t>
  </si>
  <si>
    <t>Ручка Montex шариковая STYLISH с син. стержнем, мет. клип, мет. наконечник арт.STYLISH</t>
  </si>
  <si>
    <t>Ручка Montex шариковая STYLISH с син. стержнем, мет. клип, мет. наконечник, корпус ассорти, в блистере арт.STYLISH_BL</t>
  </si>
  <si>
    <t>Ручка Montex шариковая Victory с син. стержнем, резин. держатель, мет. наконечник, корпус ассорти арт.Victory</t>
  </si>
  <si>
    <t>Ручка автоматическая Attomex 0,7мм, 4-х цветная (син, черн, красн, зел), каучук. держатель, арт. 5071600</t>
  </si>
  <si>
    <t>Ручка автоматическая deVENTE Crown подарочная, поворотный механизм, металлич. корпус ассорти, синяя, арт. 9021930</t>
  </si>
  <si>
    <t>Ручка автоматическая deVENTE Navigator подарочная, поворотный механизм, голубой Soft-корпус, синяя, арт. 9021949</t>
  </si>
  <si>
    <t>Ручка автоматическая deVENTE Navigator подарочная, поворотный механизм, черный Soft-корпус, синяя, арт. 9021948</t>
  </si>
  <si>
    <t>Ручка гелевая ErichKrause "G-Star" черная арт.45207</t>
  </si>
  <si>
    <t>Ручка гелевая ErichKrause "G-TONE" зеленая арт.39016</t>
  </si>
  <si>
    <t>Ручка гелевая ErichKrause "G-TONE" черная арт.17810</t>
  </si>
  <si>
    <t>Ручка гелевая ErichKrause "R-301 ORIGINAL Gel" синяя арт.40318</t>
  </si>
  <si>
    <t>Ручка гелевая deVENTE "Перо" d=0.5 мм, корпус в форме павлиньего пера, синий стержень арт. 9021921</t>
  </si>
  <si>
    <t>Ручка гелевая deVENTE с декоративной жемчужиной, Soft-корпус, синий стержень, арт. 9021709</t>
  </si>
  <si>
    <t>Ручка капиллярная Bruno Visconti "Basic. Fineliner" 0,4мм, красная арт.36-0009</t>
  </si>
  <si>
    <t>Ручка капиллярная Bruno Visconti "Basic. Fineliner" 0,4мм, синяя арт.36-0008</t>
  </si>
  <si>
    <t>Ручка капиллярная Bruno Visconti "Basic. Fineliner" 0,4мм, черная арт.36-0007</t>
  </si>
  <si>
    <t>Ручка шариковая Berlingo "I-10", 0,4мм, синяя арт.CBp_40012</t>
  </si>
  <si>
    <t>Ручка шариковая Bruno Visconti "FirstWrite. Special", 0,5мм, синяя, корпус ассорти арт.20-0237</t>
  </si>
  <si>
    <t>Ручка шариковая Bruno Visconti "FreshWrite. Crazy. Круги белые", 0,7мм, синяя арт.20-0214/32</t>
  </si>
  <si>
    <t>Ручка шариковая Bruno Visconti "FreshWrite. Crazy. Тонкие полоски", 0,7мм, синяя арт.20-0214/05</t>
  </si>
  <si>
    <t>Ручка шариковая Bruno Visconti "FreshWrite. Music blue", 0,7мм, синяя арт.20-0214/43</t>
  </si>
  <si>
    <t>Ручка шариковая Bruno Visconti "FreshWrite. Music red", 0,7мм, синяя арт.20-0214/44</t>
  </si>
  <si>
    <t>Ручка шариковая Bruno Visconti "FreshWrite. Sketches Black and Blue", 0,7мм, синяя арт.20-0214/46</t>
  </si>
  <si>
    <t>Ручка шариковая Bruno Visconti "FreshWrite. Единорог", 0,7мм, синяя арт.20-0214/49</t>
  </si>
  <si>
    <t>Ручка шариковая Bruno Visconti "FreshWrite. Летние цветы", 0,7мм, синяя арт.20-0214/07</t>
  </si>
  <si>
    <t>Ручка шариковая Bruno Visconti "FunWrite. Птенчики", 0,5мм, синяя арт.20-0212/15</t>
  </si>
  <si>
    <t>Ручка шариковая Bruno Visconti "FunWrite. Розовые котята-2", 0,5мм, синяя арт.20-0212/36</t>
  </si>
  <si>
    <t>Ручка шариковая Bruno Visconti "FunWrite. Футбольные бутсы", 0,5мм, синяя арт.20-0212/31</t>
  </si>
  <si>
    <t>Ручка шариковая Bruno Visconti "FunWrite. Черный кот", 0,5мм, синяя арт.20-0212/38</t>
  </si>
  <si>
    <t>Ручка шариковая Bruno Visconti "FunWrite. Ягодки-малинки", 0,5мм, синяя арт.20-0212/37</t>
  </si>
  <si>
    <t>Ручка шариковая Bruno Visconti "HappyWrite. SuperCat", 0,5мм, синяя арт.20-0215/24</t>
  </si>
  <si>
    <t>Ручка шариковая Bruno Visconti "HappyWrite. Голубые птички", 0,5мм, синяя арт.20-0215/16</t>
  </si>
  <si>
    <t>Ручка шариковая Bruno Visconti "HappyWrite. Котята-лапки", 0,5мм, синяя арт.20-0117</t>
  </si>
  <si>
    <t>Ручка шариковая Bruno Visconti "HappyWrite. Ламы", 0,5мм, синяя арт.20-0215/26</t>
  </si>
  <si>
    <t>Ручка шариковая Bruno Visconti "HappyWrite. Машинки", 0,5мм, синяя, в салатовом картонном футляре арт.20-0215/01-1</t>
  </si>
  <si>
    <t>Ручка шариковая Bruno Visconti "HappyWrite. Овечки", 0,5мм, синяя арт.20-0215/20</t>
  </si>
  <si>
    <t>Ручка шариковая Bruno Visconti "HappyWrite. Позитив", 0,5мм, синяя арт.20-0118</t>
  </si>
  <si>
    <t>Ручка шариковая Bruno Visconti "HappyWrite. Разноцветные слоники", 0,5мм, синяя арт.20-0215/11</t>
  </si>
  <si>
    <t>Ручка шариковая Bruno Visconti "HappyWrite. Розовые котята", 0,5мм, синяя, в голубом картонном футляре арт.20-0156-1</t>
  </si>
  <si>
    <t>Ручка шариковая Bruno Visconti "HappyWrite. Цветы и птички", 0,5мм, синяя арт.20-0215/05</t>
  </si>
  <si>
    <t>Ручка шариковая Bruno Visconti "HappyWrite. Яркие кошки", 0,5мм, синяя арт.20-0150</t>
  </si>
  <si>
    <t>Ручка шариковая Bruno Visconti "MagicWrite. Велосипеды", 0,5мм, синяя арт.20-0240/16</t>
  </si>
  <si>
    <t>Ручка шариковая Bruno Visconti "MagicWrite. Кораблики", 0,5мм, синяя арт.20-0240/22</t>
  </si>
  <si>
    <t>Ручка шариковая Bruno Visconti "MagicWrite. Мяу-мяу", 0,5мм, синяя арт.20-0240/11</t>
  </si>
  <si>
    <t>Ручка шариковая Bruno Visconti "MagicWrite. Пушистая кошка", 0,5мм, синяя арт.20-0240/03</t>
  </si>
  <si>
    <t>Ручка шариковая Bruno Visconti "MagicWrite. Сердечки розовые", 0,5мм, синяя арт.20-0240/08</t>
  </si>
  <si>
    <t>Ручка шариковая Bruno Visconti "MagicWrite. Спорт", 0,5мм, синяя арт.20-0240/21</t>
  </si>
  <si>
    <t>Ручка шариковая Bruno Visconti "PointWrite Original", 0,38мм, синяя, корпус ассорти арт.20-0210</t>
  </si>
  <si>
    <t>Ручка шариковая Bruno Visconti "PointWrite.ZEFIR", 0,38мм, синяя, корпус ассорти арт.20-0253</t>
  </si>
  <si>
    <t>Ручка шариковая ErichKrause "COCKTAIL" синий стержень арт.33518</t>
  </si>
  <si>
    <t>Ручка шариковая ErichKrause "MaxGlider" синий стержень арт.45213</t>
  </si>
  <si>
    <t>Ручка шариковая ErichKrause "R-101" зеленая арт.33514</t>
  </si>
  <si>
    <t>Ручка шариковая ErichKrause "R-101" синяя арт.33511</t>
  </si>
  <si>
    <t>Ручка шариковая ErichKrause "R-101" черная арт.33512</t>
  </si>
  <si>
    <t>Ручка шариковая ErichKrause "R-301 CLASSIC Stick and Grip" синяя арт.39527</t>
  </si>
  <si>
    <t>Ручка шариковая ErichKrause "R-301 CLASSIC" синяя арт.43184</t>
  </si>
  <si>
    <t>Ручка шариковая ErichKrause "R-301 CLASSIC" черная арт.43185</t>
  </si>
  <si>
    <t>Ручка шариковая ErichKrause "R-301 NEON Stick and Grip" синяя арт.42751</t>
  </si>
  <si>
    <t>Ручка шариковая ErichKrause "R-301 ORANGE Stick and Grip" синяя арт.39531</t>
  </si>
  <si>
    <t>Ручка шариковая ErichKrause "R-301 ORANGE" зеленая арт.43197</t>
  </si>
  <si>
    <t>Ручка шариковая ErichKrause "R-301 ORANGE" красная арт.43196</t>
  </si>
  <si>
    <t>Ручка шариковая ErichKrause "R-301 ORANGE" синяя арт.43194</t>
  </si>
  <si>
    <t>Ручка шариковая ErichKrause "R-301 ORANGE" черная арт.43195</t>
  </si>
  <si>
    <t>Ручка шариковая ErichKrause "R-301 SPRING Stick and Grip" синяя арт.39532</t>
  </si>
  <si>
    <t>Ручка шариковая ErichKrause "R-301 SPRING" синяя арт.31059</t>
  </si>
  <si>
    <t>Ручка шариковая ErichKrause "R-301 Violet Stick and Grip" фиолет. стержень арт.44592</t>
  </si>
  <si>
    <t>Ручка шариковая ErichKrause "ULTRA L-10" красный стержень арт.39433</t>
  </si>
  <si>
    <t>Ручка шариковая ErichKrause "ULTRA L-10" син.стержень арт.13873</t>
  </si>
  <si>
    <t>Ручка шариковая ErichKrause "ULTRA L-10" черн.стержень арт.13874</t>
  </si>
  <si>
    <t>Ручка шариковая ErichKrause "ULTRA L-20" син.стержень арт.13875</t>
  </si>
  <si>
    <t>Ручка шариковая ErichKrause "ULTRA L-30" син.стержень арт.19613</t>
  </si>
  <si>
    <t>Ручка шариковая ErichKrause "ULTRA L-30" черн.стержень арт.19614</t>
  </si>
  <si>
    <t>Ручка шариковая ErichKrause Ultra Glide Technology "ErgoLine Kids" синий стержень арт.41539</t>
  </si>
  <si>
    <t>Ручка шариковая ErichKrause Ultra Glide Technology "U-11 Yellow" син.стержень арт.37055</t>
  </si>
  <si>
    <t>Ручка шариковая ErichKrause Ultra Glide Technology "U-11 Yellow" фиолет.стержень арт.37057</t>
  </si>
  <si>
    <t>Ручка шариковая ErichKrause Ultra Glide Technology "U-11 Yellow" черн.стержень арт.37056</t>
  </si>
  <si>
    <t>Ручка шариковая ErichKrause Ultra Glide Technology "U-11" син.стержень арт.37052</t>
  </si>
  <si>
    <t>Ручка шариковая ErichKrause Ultra Glide Technology "U-18" красн.стержень арт.32536</t>
  </si>
  <si>
    <t>Ручка шариковая ErichKrause Ultra Glide Technology "U-18" син.стержень арт.32534</t>
  </si>
  <si>
    <t>Ручка шариковая ErichKrause Ultra Glide Technology "U-18" фиолет.стержень арт.32537</t>
  </si>
  <si>
    <t>Ручка шариковая ErichKrause Ultra Glide Technology "U-18" черн.стержень арт.32535</t>
  </si>
  <si>
    <t>Ручка шариковая ErichKrause Ultra Glide Technology "U-19" синий стержень арт.33519</t>
  </si>
  <si>
    <t>Ручка шариковая deVENTE "Deluxe" d=1 мм, черный корпус с золотой отделкой, немецкие СИНИЕ чернила, арт. 9023809</t>
  </si>
  <si>
    <t>Ручка шариковая deVENTE Bear d=0.7 мм, цветной корпус, синяя, арт. 9021916</t>
  </si>
  <si>
    <t>Ручка шариковая deVENTE Bugs d=0.7 мм, цветной корпус, синяя, арт. 9021901</t>
  </si>
  <si>
    <t>Ручка шариковая deVENTE Cactus d=0.7 мм, цветной корпус, синяя, арт. 9021904</t>
  </si>
  <si>
    <t>Ручка шариковая deVENTE Dolphin d=0.7 мм, цветной корпус, синяя, арт. 9021915</t>
  </si>
  <si>
    <t>Ручка шариковая deVENTE Fruits d=0.7 мм, корпус в форме банана, синяя, арт. 9021906</t>
  </si>
  <si>
    <t>Ручка шариковая deVENTE Mermaid d=0.7 мм, корпус в форме хвоста русалки, синяя, арт. 9021908</t>
  </si>
  <si>
    <t>Ручка шариковая deVENTE Owls d=0.7 мм, цветной корпус, синяя, арт. 9021910</t>
  </si>
  <si>
    <t>Ручка шариковая deVENTE Головоломка d=0.7 мм, цветной корпус, декор. элемент в форме головоломки, синяя арт. 9021801</t>
  </si>
  <si>
    <t>Ручка шариковая deVENTE Зверьки d=0.7 мм, белый корпус, декоративный элемент в форме зверька, арт. 9021705</t>
  </si>
  <si>
    <t>Ручка шариковая deVENTE Лапка d=0.7 мм, цветной корпус, синяя, арт. 9021925</t>
  </si>
  <si>
    <t>Ручка шариковая deVENTE Хамелеон d=0.7 мм, поворотная, с магнитом, синяя, арт. 9021923</t>
  </si>
  <si>
    <t>Ручка шариковая deVENTE набор 2шт. deVENTE BlackPink, d=0.7, пласт. коробка, синий стерж., арт. 9021957</t>
  </si>
  <si>
    <t>Ручка шариковая deVENTE набор 2шт. deVENTE Forex, d=0.7, пласт. коробка, синий стерж.арт. 9021981</t>
  </si>
  <si>
    <t>Ручка шариковая deVENTE набор 2шт. deVENTE Legend, d=0.7, пласт. коробка, синий стерж.арт. 9021962</t>
  </si>
  <si>
    <t>Ручка шариковая deVENTE набор 2шт. deVENTE Стильная штучка, d=0.7, пласт. коробка, синий стерж., арт. 9021958</t>
  </si>
  <si>
    <t>Ручка шариковая автоматическая Bruno Visconti "HappyClick. Бельки", 0,5мм, синяя арт.20-0241/25</t>
  </si>
  <si>
    <t>Ручка шариковая автоматическая Bruno Visconti "HappyClick. Далматинцы", 0,5мм, синяя арт.20-0241/32</t>
  </si>
  <si>
    <t>Ручка шариковая автоматическая Bruno Visconti "HappyClick. Девочка с собачкой", 0,5мм, синяя арт.20-0241/08</t>
  </si>
  <si>
    <t>Ручка шариковая автоматическая Bruno Visconti "HappyClick. Ночные кошки", 0,5мм, синяя арт.20-0241/07</t>
  </si>
  <si>
    <t>Ручка шариковая автоматическая Bruno Visconti "HappyClick. Панды", 0,5мм, синяя арт.20-0241/23</t>
  </si>
  <si>
    <t>Ручка шариковая автоматическая Bruno Visconti "HappyClick. Пончики", 0,5мм, синяя арт.20-0241/28</t>
  </si>
  <si>
    <t>Ручка шариковая автоматическая Bruno Visconti "HappyClick. Розовая кошечка", 0,5мм, синяя арт.20-0241/10</t>
  </si>
  <si>
    <t>Ручка шариковая автоматическая Bruno Visconti "HappyClick. Футбол", 0,5мм, синяя арт.20-0241/14</t>
  </si>
  <si>
    <t>Ручка шариковая автоматическая Bruno Visconti "HappyClick. Эскимо", 0,5мм, синяя арт.20-0241/27</t>
  </si>
  <si>
    <t>Ручка шариковая автоматическая Bruno Visconti "SlimClick.SPECIAL", 0,5мм, синяя, корпус ассорти арт.20-0077</t>
  </si>
  <si>
    <t>Ручка шариковая автоматическая ErichKrause "FIORE" синяя арт.17722</t>
  </si>
  <si>
    <t>Ручка шариковая автоматическая ErichKrause "MC-5" синяя арт.31067</t>
  </si>
  <si>
    <t>Ручка шариковая автоматическая ErichKrause "MEGAPOLIS CONCEPT" син.стержень арт.EK31</t>
  </si>
  <si>
    <t>Ручка шариковая автоматическая ErichKrause "MEGAPOLIS CONCEPT" черн.стержень арт.EK32</t>
  </si>
  <si>
    <t>Ручка шариковая автоматическая ErichKrause "R-301 Neon Matic&amp;Grip" синяя арт.46769</t>
  </si>
  <si>
    <t>Ручка шариковая автоматическая ErichKrause "R-301 Original Matic" синяя арт.46764</t>
  </si>
  <si>
    <t>Ручка шариковая автоматическая ErichKrause "R-305" синяя арт.39055</t>
  </si>
  <si>
    <t>Ручка шариковая автоматическая ErichKrause "Smart" синяя арт.44967</t>
  </si>
  <si>
    <t>Ручка шариковая автоматическая ErichKrause "VIVO Spring" син.стержень арт.45024</t>
  </si>
  <si>
    <t>Ручка шариковая автоматическая ErichKrause "XR-30 Spring" синяя арт.43622</t>
  </si>
  <si>
    <t>Ручка шариковая автоматическая ErichKrause "XR-30" синяя арт.17721</t>
  </si>
  <si>
    <t>Ручка шариковая автоматическая ErichKrause Ultra Glide Technology "JOY Neon" синий стержень арт.43347</t>
  </si>
  <si>
    <t>Ручка шариковая автоматическая ErichKrause Ultra Glide Technology "JOY Neon" синий стержень арт.46524/43347</t>
  </si>
  <si>
    <t>Ручка шариковая автоматическая ErichKrause Ultra Glide Technology "U-28" красный стержень арт.33530</t>
  </si>
  <si>
    <t>Ручка шариковая автоматическая ErichKrause Ultra Glide Technology "U-28" синий стержень арт.33528</t>
  </si>
  <si>
    <t>Ручка шариковая автоматическая ErichKrause Ultra Glide Technology "U-28" черный стержень арт.33529</t>
  </si>
  <si>
    <t>Ручка шариковая автоматическая ErichKrause Ultra Glide Technology "U-29" синий стержень арт.33568</t>
  </si>
  <si>
    <t>Ручка шариковая настольная OfficeSpace "Reception" на пластик. пружине, на подставке, зеленый корпус арт.TBgr_16082</t>
  </si>
  <si>
    <t>Ручки -линеры Happy набор 4 цв., 0,7мм, в пласт. футляре с европодвесом арт.4601 0401</t>
  </si>
  <si>
    <t>Ручки гелевые 06 цв. набор, deVENTE d=0.6 мм, в пласт. коробке с подвесом, арт. 5051418</t>
  </si>
  <si>
    <t>Ручки гелевые набор Erich Krause "R-301 Glitter" 6шт, в футляре арт.46526</t>
  </si>
  <si>
    <t>Ручки капиллярные 06 цв. набор, deVENTE "Trio" d=0.4 мм, цветной трехгранный корпус, в пласт. коробке, арт. 5060900</t>
  </si>
  <si>
    <t>Ручки капиллярные 12 цв. набор, deVENTE "Trio" d=0.4 мм, цветной трехгранный корпус, в пласт. коробке, арт. 5060901</t>
  </si>
  <si>
    <t>Ручки шариковые автоматические набор Bruno Visconti "HappyClick. Футбол" 2шт, 0,5мм, синие, пакет с е/п арт.20-0241/14-2</t>
  </si>
  <si>
    <t>Ручки шариковые набор Bruno Visconti "FreshWrite. Кедомания-1/Тату" 2шт, 0,7мм, синие, желтый футляр арт.20-0214/1129</t>
  </si>
  <si>
    <t>Ручки шариковые набор Bruno Visconti "FreshWrite. Озорные кошки/коты" 2шт, 0,7мм, синие, зеленый футляр арт.20-0214/2730</t>
  </si>
  <si>
    <t>Ручки шариковые набор Bruno Visconti "HappyWrite. Разноцветные слоники" 2шт, 0,5мм, синие, пакет с е/п арт.20-0215/11-2</t>
  </si>
  <si>
    <t>Ручки шариковые набор Bruno Visconti "MagicWrite. Велосипеды" 2шт, 0,5мм, синие, пакет с е/п арт.20-0240/16-2</t>
  </si>
  <si>
    <t>Ручки шариковые набор Bruno Visconti "MagicWrite. Зайка" 2шт, 0,5мм, синие, пакет с е/п арт.20-0240/01-2</t>
  </si>
  <si>
    <t>Ручки шариковые набор ErichKrause "Neo Cocktail" 4шт, синие, в пакете с е/п арт.43729</t>
  </si>
  <si>
    <t>Ручки шариковые набор ErichKrause "R-301" 4шт, синие, в пакете с е/п арт.22032</t>
  </si>
  <si>
    <t>Ручки шариковые набор ErichKrause Ultra Glide Technology "U-11 Yellow" 3шт, (син., черн., фиол.) пакет с е/п арт.37099</t>
  </si>
  <si>
    <t>Ручки шариковые набор ErichKrause Ultra Glide Technology "U-11" 3шт, синие, в пакете с е/п арт.37094</t>
  </si>
  <si>
    <t>Салфетка губчатая целлюлозная влаговпитывающая  PRO service Optimum 15,5*15,5см, 5шт/упак, ассорти арт.19300700</t>
  </si>
  <si>
    <t>Салфетки влажные освежающие AURA "Tropic coctail", 15*20см, 60шт/уп, освежающие арт.6390</t>
  </si>
  <si>
    <t>Скобы №10 для степлера ErichKrause медные арт.7139</t>
  </si>
  <si>
    <t>Скобы №23/17 для степлера арт.ЕК1191</t>
  </si>
  <si>
    <t>Скобы №23/23 Berlingo для степлера, оцинкованные арт.DSk_23230</t>
  </si>
  <si>
    <t>Скобы №24/6 для степлеров ErichKrause арт.1189</t>
  </si>
  <si>
    <t>Скотч-лента  48мм* 50м. 40мк кор. Klebebander  арт.225/36/6-кор.</t>
  </si>
  <si>
    <t>Скотч-лента прозрачная 19*28 арт.19*28</t>
  </si>
  <si>
    <t>Скрепки Berlingo золотистые, 28мм, 100шт, в карт.коробочке арт.BK2516</t>
  </si>
  <si>
    <t>Скрепки ErichKrause омедненные (золотые) 28мм, 100шт, в карт коробочке арт.24867</t>
  </si>
  <si>
    <t>Скрепки канцелярские L50 мм, 50 шт. гофр., оцинк., карт. уп. арт.Г50-50Ц</t>
  </si>
  <si>
    <t>Скрепки канцелярские L75 мм, 40 шт. гофр. оцинк. карт. уп. арт.Г75-40Ц</t>
  </si>
  <si>
    <t>Спиннер тройной КЛАССИЧЕСКИЙ ЦВЕТНОЙ, арт. AN 2007 А</t>
  </si>
  <si>
    <t>Спиннер тройной СМАЙЛЫ, светящийся в темноте арт. AN 2005</t>
  </si>
  <si>
    <t>Спиннер тройной, 4 подшипника МЕТАЛЛИК, арт. AN 2014</t>
  </si>
  <si>
    <t>Стакан СОЧНЫЙ ОФИС АССОРТИ арт.СН60</t>
  </si>
  <si>
    <t>Степлер 24/6 (20л) ErichKrause мини, вмещает 50 скоб, с антистеплером, черный арт.2183</t>
  </si>
  <si>
    <t>Степлер 24/6 (30л) ErichKrause "Quadro" Half-strip, вмещает 130 скоб, ассорти арт.4549</t>
  </si>
  <si>
    <t>Степлер 24/6, 26/6 (20л) deVENTE "Neon" пластиковый, в картон. коробке, неоновый розовый, арт. 4142341</t>
  </si>
  <si>
    <t>Степлер 24/6, 26/6 (20л) deVENTE "Pastel" пластик, с каучук.вставкой, в карт.коробке, 3 цвета, арт. 4142900</t>
  </si>
  <si>
    <t>Стержень 135 синий арт.СТ11</t>
  </si>
  <si>
    <t>Стержень Montex D-1 107мм синий в син. тубе, с ушками арт.D-1 Pilot Tip син</t>
  </si>
  <si>
    <t>Стержень гелевый Crown 138мм/0,8 пастель белая арт.HJR-200P</t>
  </si>
  <si>
    <t>Стержень гелевый ErichKrause "G-BASE" fine 129мм/0,5 синий арт.39007</t>
  </si>
  <si>
    <t>Стержень гелевый deVENTE 0,5 мм красный, 130 мм арт. 5053702</t>
  </si>
  <si>
    <t>Стержень шариковый Berlingo "I-10" 141 мм, 0,4мм, синий арт.CPb_40102</t>
  </si>
  <si>
    <t>Стержень шариковый Bruno Visconti "FreshWrite" 135 мм/0,7 мм синий арт.23-0039</t>
  </si>
  <si>
    <t>Стержень шариковый ErichKrause "R-301" 140 мм зеленый арт.46964</t>
  </si>
  <si>
    <t>Стержень шариковый ErichKrause для автоматических ручек "XR-30" 107мм (инд. пакеты) арт.46966</t>
  </si>
  <si>
    <t>Стержень шариковый ErichKrause для автоматических ручек "XR-30" 107мм арт.46967</t>
  </si>
  <si>
    <t>Стержни для циркулей KOH-I-NOOR 2,0мм, длина 19,0мм, 5 шт./набор  арт.7621B0000BL</t>
  </si>
  <si>
    <t>Телефонная книга А5 112*206 мм, 80л. "Цветы. Light moments", на гребне, с высечкой арт.Тк80г_25351</t>
  </si>
  <si>
    <t>Телефонная книга А5 126*216 мм, 80л. "Офис. In style", выборочный уф-лак, с высечкой арт.Тк80т_25344</t>
  </si>
  <si>
    <t>Телефонная книга А5 126*216 мм, 80л. "Цветы. Lovely flowers", выборочный уф-лак, с высечкой арт.Тк80т_25345</t>
  </si>
  <si>
    <t>Тетрадь 48л в клетку "Succulents" арт.46656</t>
  </si>
  <si>
    <t>Тетрадь 48л в клетку "Дружба" арт.47526</t>
  </si>
  <si>
    <t>Тетрадь 48л в клетку ArtSpace "Верь в себя!" арт.Т48к_24326</t>
  </si>
  <si>
    <t>Тетрадь 48л в клетку ArtSpace "Микс. Стандарт" арт.Т48к_16517</t>
  </si>
  <si>
    <t>Тетрадь 48л в клетку ArtSpace "Моноколор. Bright modern" арт.Т48кС_25018</t>
  </si>
  <si>
    <t>Тетрадь 48л в клетку ArtSpace "Моноколор. Pale color" арт.Т48к_13643</t>
  </si>
  <si>
    <t>Тетрадь 48л в клетку ArtSpace "Питомцы. Cat/Dog" арт.Т48к_24362</t>
  </si>
  <si>
    <t>Тетрадь 48л в клетку ArtSpace "Путешествия. The moment" арт.Т48к_24330</t>
  </si>
  <si>
    <t>Тетрадь 48л в клетку ArtSpace "Стиль. Bright &amp; Sweet" арт.Т48к_25014</t>
  </si>
  <si>
    <t>Тетрадь 48л в клетку ArtSpace "Стиль. Colourful collage" арт.Т48к_24338</t>
  </si>
  <si>
    <t>Тетрадь 48л в клетку ArtSpace "Стиль. Delicious" арт.Т48к_24410</t>
  </si>
  <si>
    <t>Тетрадь 48л в клетку ArtSpace "Стиль. Here and now" арт.Т48к_24358</t>
  </si>
  <si>
    <t>Тетрадь 48л в клетку ArtSpace "Стиль. Hygge things", ВД-лак арт.Т48к_18840</t>
  </si>
  <si>
    <t>Тетрадь 48л в клетку ArtSpace "Стиль. Mens style" арт.Т48к_24400</t>
  </si>
  <si>
    <t>Тетрадь 48л в клетку ArtSpace "Стиль. Nice things" арт.Т48к_24364</t>
  </si>
  <si>
    <t>Тетрадь 48л в клетку ArtSpace "Цветы. The blooming garden", матовая ламинация арт.Т48кМл_24422</t>
  </si>
  <si>
    <t>Тетрадь 48л в клетку ArtSpace ЭКОНОМ "Путешествия. Great trip" арт.Т48кЭ_24446</t>
  </si>
  <si>
    <t>Тетрадь 48л в клетку ArtSpace ЭКОНОМ "Цветы. Garden flowers" арт.Т48кЭ_24454</t>
  </si>
  <si>
    <t>Тетрадь 48л в клетку Альт "Fresh настроение", ассорти 5 видов арт.7-48-307</t>
  </si>
  <si>
    <t>Тетрадь 48л в клетку Альт "Единороги. Феерия", ассорти 5 видов арт.7-48-720</t>
  </si>
  <si>
    <t>Тетрадь 48л в клетку Альт "Кошки. Яркий взгляд", УФ-лак, ассорти 5 видов арт.7-48-1019</t>
  </si>
  <si>
    <t>Тетрадь 48л в клетку Альт "Кошкин дом", ассорти 5 видов арт.7-48-824</t>
  </si>
  <si>
    <t>Тетрадь 48л в клетку Альт "Ночные города", ассорти 5 видов арт.7-48-727</t>
  </si>
  <si>
    <t>Тетрадь 48л в клетку Альт "Природа. Настроение", ассорти 5 видов арт.7-48-006</t>
  </si>
  <si>
    <t>Тетрадь 48л в клетку Альт "Собаки. С легким паром", ассорти 5 видов арт.7-48-819</t>
  </si>
  <si>
    <t>Тетрадь 48л в клетку Альт "Фрукты new", ассорти 5 видов арт.7-48-544</t>
  </si>
  <si>
    <t>Тетрадь 48л в клетку Альт "Цветы. Настроение", ассорти 5 видов арт.7-48-017</t>
  </si>
  <si>
    <t>Тетрадь 48л в клетку на СПИРАЛИ Альт "Кеды", глянцевая ламинация, ассорти 4 вида арт.7-48-134</t>
  </si>
  <si>
    <t>Тетрадь 48л в клетку на СПИРАЛИ Альт "Ламы и бельки", глянцевая ламинация, ассорти 5 видов арт.7-48-136</t>
  </si>
  <si>
    <t>Тетрадь 48л в клетку предметная "К доске! Физика" арт.43588</t>
  </si>
  <si>
    <t>Тетрадь 48л в клетку предметная "К доске! Химия" арт.43589</t>
  </si>
  <si>
    <t>Тетрадь 48л в клетку предметная ArtSpace "Мой мир" Алгебра, ВД-лак арт.Тп48к_23938</t>
  </si>
  <si>
    <t>Тетрадь 48л в клетку предметная ArtSpace "Мой мир" Английский язык, ВД-лак арт.Тп48к_23940</t>
  </si>
  <si>
    <t>Тетрадь 48л в клетку предметная ArtSpace "Мой мир" География, ВД-лак арт.Тп48к_23944</t>
  </si>
  <si>
    <t>Тетрадь 48л в клетку предметная ArtSpace "Мой мир" Геометрия, ВД-лак арт.Тп48к_23946</t>
  </si>
  <si>
    <t>Тетрадь 48л в клетку предметная ArtSpace "Мой мир" Информатика, ВД-лак арт.Тп48к_24811</t>
  </si>
  <si>
    <t>Тетрадь 48л в клетку предметная ArtSpace "Мой мир" История, ВД-лак арт.Тп48к_23948</t>
  </si>
  <si>
    <t>Тетрадь 48л в клетку предметная ArtSpace "Мой мир" Физика, ВД-лак арт.Тп48к_23952</t>
  </si>
  <si>
    <t>Тетрадь 48л в клетку предметная ArtSpace "Мой мир" Химия, ВД-лак арт.Тп48к_24813</t>
  </si>
  <si>
    <t>Тетрадь 48л в клетку предметная Альт "Яркое настроение" Алгебра арт.7-48-991/09</t>
  </si>
  <si>
    <t>Тетрадь 48л в клетку предметная Альт "Яркое настроение" Английский язык арт.7-48-991/08</t>
  </si>
  <si>
    <t>Тетрадь 48л в клетку предметная Альт "Яркое настроение" Биология арт.7-48-991/03</t>
  </si>
  <si>
    <t>Тетрадь 48л в клетку предметная Альт "Яркое настроение" География арт.7-48-991/07</t>
  </si>
  <si>
    <t>Тетрадь 48л в клетку предметная Альт "Яркое настроение" Геометрия арт.7-48-991/05</t>
  </si>
  <si>
    <t>Тетрадь 48л в клетку предметная Альт "Яркое настроение" История арт.7-48-991/04</t>
  </si>
  <si>
    <t>Тетрадь 48л в клетку предметная Альт "Яркое настроение" Физика арт.7-48-991/01</t>
  </si>
  <si>
    <t>Тетрадь 48л в клетку предметная Альт "Яркое настроение" Химия арт.7-48-991/06</t>
  </si>
  <si>
    <t>Тетрадь 48л в линейку "МС-7" арт.35384л</t>
  </si>
  <si>
    <t>Тетрадь 48л в линейку ArtSpace "Питомцы. Собаки. My best friend" арт.Т48л_24466</t>
  </si>
  <si>
    <t>Тетрадь 48л в линейку ArtSpace "Стиль. Art &amp; Craft" арт.Т48л_24480</t>
  </si>
  <si>
    <t>Тетрадь 48л в линейку предметная ArtSpace "Мой мир" Русский язык, ВД-лак арт.Тп48к_23954</t>
  </si>
  <si>
    <t>Тетрадь 48л в линейку предметная Альт "Яркое настроение" Литература арт.7-48-991/02</t>
  </si>
  <si>
    <t>Тетрадь 48л в линейку предметная Альт "Яркое настроение" Русский язык арт.7-48-991/10</t>
  </si>
  <si>
    <t>Тетрадь 60л в клетку ArtSpace "Моноколор. Яркие цвета" арт.Т60к_13703</t>
  </si>
  <si>
    <t>Тетрадь 60л в клетку ArtSpace "Фрукты. Colorful fruits", ВД-лак арт.Т60к_26685</t>
  </si>
  <si>
    <t>Тетрадь 80л в клетку Альт "Города", глянцевая ламинация, на СПИРАЛИ, ассорти 4 вида арт.7-80-038</t>
  </si>
  <si>
    <t>Тетрадь 80л в клетку Альт "Джинса", глянцевая ламинация, на СПИРАЛИ, ассорти 4 вида арт.7-80-037</t>
  </si>
  <si>
    <t>Тетрадь 80л в клетку Альт "Котята", глянцевая ламинация, на СПИРАЛИ, ассорти 4 вида арт.7-80-035</t>
  </si>
  <si>
    <t>Тетрадь 80л в клетку Альт "Природа", глянцевая ламинация, на СПИРАЛИ, ассорти 5 видов арт.7-80-956</t>
  </si>
  <si>
    <t>Тетрадь 80л в клетку Альт "Шотландка", глянцевая ламинация, на СПИРАЛИ, ассорти 5 видов арт.7-80-046</t>
  </si>
  <si>
    <t>Тетрадь 96л в кл. "Fusion" на СПИРАЛИ арт.46852</t>
  </si>
  <si>
    <t>Тетрадь 96л в кл. "MonoColor Next" на СПИРАЛИ арт.42688</t>
  </si>
  <si>
    <t>Тетрадь 96л в кл. "Rainbow Rhombs" на СПИРАЛИ, глянцевая ламинация арт.46855</t>
  </si>
  <si>
    <t>Тетрадь 96л в кл. "Travel" на СПИРАЛИ арт.46854</t>
  </si>
  <si>
    <t>Тетрадь 96л в кл. Альт "JAZZ CAFE" на СПИРАЛИ арт.7-96-158</t>
  </si>
  <si>
    <t>Тетрадь 96л в кл. Альт "Кеды" на СПИРАЛИ арт.7-96-160</t>
  </si>
  <si>
    <t>Тетрадь 96л в клетку "Пионы" арт.46677</t>
  </si>
  <si>
    <t>Тетрадь 96л в клетку ArtSpace "Верь в себя!", ВД-лак арт.Т96к_26721</t>
  </si>
  <si>
    <t>Тетрадь 96л в клетку ArtSpace "Моноколор. Simple modern", выборочный уф-лак арт.Т96кВЛ_21002</t>
  </si>
  <si>
    <t>Тетрадь 96л в клетку ArtSpace "Питомцы. The pets", ВД-лак арт.Т96к_26723</t>
  </si>
  <si>
    <t>Тетрадь 96л в клетку ArtSpace "Стиль. Bright life", ВД-лак арт.Т96к_26729</t>
  </si>
  <si>
    <t>Тетрадь 96л в клетку ArtSpace "Стиль. Colourful collage", ВД-лак арт.Т96к_26725</t>
  </si>
  <si>
    <t>Тетрадь 96л в клетку ArtSpace "Стиль. Dreams and travel", ВД-лак арт.Т96к_26705</t>
  </si>
  <si>
    <t>Тетрадь 96л в клетку ArtSpace "Стиль. Here and now", ВД-лак арт.Т96к_26717</t>
  </si>
  <si>
    <t>Тетрадь 96л в клетку ArtSpace "Стиль. Nice things", ВД-лак арт.Т96к_26727</t>
  </si>
  <si>
    <t>Тетрадь 96л в клетку ArtSpace "Стиль. Полезные сладости", глянцевый УФ-лак арт.Т96кГЛ_12178</t>
  </si>
  <si>
    <t>Тетрадь 96л в клетку ArtSpace "Увлечения. My journal" арт.Т96к_25020</t>
  </si>
  <si>
    <t>Тетрадь 96л в клетку ArtSpace "Узоры. Pattern &amp; Flower", ВД-лак арт.Т96к_20972</t>
  </si>
  <si>
    <t>Тетрадь 96л в клетку ArtSpace ЭКОНОМ "Микс. Girl s collection" арт.Т96кЭ_23604</t>
  </si>
  <si>
    <t>Тетрадь 96л в клетку ArtSpace ЭКОНОМ "Микс. Mens collection" арт.Т96кЭ_23606</t>
  </si>
  <si>
    <t>Тетрадь 96л в клетку ArtSpace ЭКОНОМ "Микс. Путешествия" арт.Т96кЭ_23610</t>
  </si>
  <si>
    <t>Тетрадь 96л в клетку Альт "Город и цвет", УФ-лак, ассорти 5 видов арт.7-96-513</t>
  </si>
  <si>
    <t>Тетрадь 96л в клетку Альт "Города. Контрасты", УФ-лак, ассорти 5 видов арт.7-96-015</t>
  </si>
  <si>
    <t>Тетрадь 96л в клетку Альт "Кеды", УФ-лак, ассорти 5 видов арт.7-96-514</t>
  </si>
  <si>
    <t>Тетрадь 96л в клетку Альт "Классика", ассорти 5 видов арт.7-96-012/1</t>
  </si>
  <si>
    <t>Тетрадь 96л в клетку Альт "Приколы. Собаки", ассорти 5 видов арт.7-96-515</t>
  </si>
  <si>
    <t>Тетрадь 96л в клетку Альт "Танго NEW", УФ-лак, ассорти 5 видов арт.7-96-1013</t>
  </si>
  <si>
    <t>Тетрадь 96л в клетку Альт "Шотландка", ассорти 5 видов арт.7-96-024</t>
  </si>
  <si>
    <t>Тетрадь 96л в клетку Альт "Щенки. Контрасты", УФ-лак, ассорти 5 видов арт.7-96-025</t>
  </si>
  <si>
    <t>Тетрадь А4 100л на кольцах ArtSpace "Стиль. Beautiful moments", 7БЦ, глянц. ламинация арт.ТК100А4_27827</t>
  </si>
  <si>
    <t>Тетрадь А4 100л на кольцах ArtSpace "Стиль. Sweet moments", 7БЦ арт.ТК100А4_22065</t>
  </si>
  <si>
    <t>Тетрадь А4 48л в клетку ArtSpace "Путешествия. Black&amp;White" арт.Т48А4кГЛ_26781</t>
  </si>
  <si>
    <t>Тетрадь А4 48л в клетку ArtSpace "Цветы. Нежный узор" арт.Т48А4к_26783</t>
  </si>
  <si>
    <t>Тетрадь А4 48л в клетку Альт "Классика", ассорти 3 вида арт.7-48-019</t>
  </si>
  <si>
    <t>Тетрадь А4 48л в клетку с пластиковой обложкой "Neon" зеленый арт.48221</t>
  </si>
  <si>
    <t>Тетрадь А4 48л в клетку с пластиковой обложкой "Neon" оранжевый арт.48222</t>
  </si>
  <si>
    <t>Тетрадь А4 60л в клетку на спирали ErichKrause "GLANCE VIVID", пластиковая обложка арт.43540</t>
  </si>
  <si>
    <t>Тетрадь А4 80л в клетку deVENTE "Black&amp;White" на скобе арт.2058501</t>
  </si>
  <si>
    <t>Тетрадь А4 80л в клетку deVENTE."Classic" на скобе арт.2058701</t>
  </si>
  <si>
    <t>Тетрадь А4 80л в клетку deVENTE."Vacation" на скобе арт.2058502</t>
  </si>
  <si>
    <t>Тетрадь А4 80л в клетку на спирали ArtSpace "Моноколор. Color design" арт.Т80А4спк_13763</t>
  </si>
  <si>
    <t>Тетрадь А4 80л в клетку на спирали ArtSpace "Моноколор. Colorblock" арт.Т80А4спк_26793</t>
  </si>
  <si>
    <t>Тетрадь А4 80л в клетку на спирали ArtSpace "Стиль. Precious moments", ВД-лак арт.Т80А4спк_26797</t>
  </si>
  <si>
    <t>Тетрадь А4 80л на кольцах ErichKrause "Neon" пластиковая обложка на кнопке арт.45194</t>
  </si>
  <si>
    <t>Тетрадь А4 80л на спирали "Cubes", пластик. обложка, в клетку, на резинке арт.45978</t>
  </si>
  <si>
    <t>Тетрадь А4 80л на спирали "Pastel", пластик. обложка, в клетку арт.50163</t>
  </si>
  <si>
    <t>Тетрадь А4 96л в клетку  бумвинил (205*273) арт.с488</t>
  </si>
  <si>
    <t>Тетрадь А4 96л в клетку ArtSpace "Моноколор. Inspiration" арт.Т96А4к_12120</t>
  </si>
  <si>
    <t>Тетрадь А4 96л в клетку ArtSpace "Путешествия. City voyage", ВД-лак арт.Т96А4к_21104</t>
  </si>
  <si>
    <t>Тетрадь А4 96л в клетку ArtSpace "Путешествия. To travel is to live", глянцевый уф-лак арт.Т96А4кГЛ_12122</t>
  </si>
  <si>
    <t>Тетрадь А4 96л в клетку ArtSpace "Стиль. Yacht style" арт.Т96А4к_21102</t>
  </si>
  <si>
    <t>Тетрадь А4 96л в клетку Альт "Модный свитер", ассорти 3 вида арт.7-96-518</t>
  </si>
  <si>
    <t>Тетрадь А4 96л в клетку на спирали deVENTE "Notes" арт.2058712</t>
  </si>
  <si>
    <t>Тетрадь А4 96л в клетку на спирали deVENTE "Tropical" арт.2058509</t>
  </si>
  <si>
    <t>Тетрадь А4 96л в клетку на спирали deVENTE "Шотландка" арт.2058711</t>
  </si>
  <si>
    <t>Тетрадь А4 96л в клетку на спирали Альт "Шотландка", ассорти 3 вида арт.7-96-002</t>
  </si>
  <si>
    <t>Тетрадь А4 96л в клетку, жесткий ламинат ArtSpace "Паттерн. Quite the thing", на спирали, глянц. лам. арт.Тт4к96гр_27574</t>
  </si>
  <si>
    <t>Тетрадь А4 96л в клетку, жесткий ламинат ArtSpace "Стиль. Precious moments", на спирали, глянц. лам. арт.Тт4к96гр_27570</t>
  </si>
  <si>
    <t>Тетрадь А5 120л в клетку "IQ" на спирали, жесткий ламинат (матовый) арт.45175</t>
  </si>
  <si>
    <t>Тетрадь А5 120л на кольцах ArtSpace "Моноколор. Soft design", 7БЦ, 1 сменный блок арт.ТК120_20351</t>
  </si>
  <si>
    <t>Тетрадь А5 120л на кольцах ArtSpace "Путешествия. Incredible places", 7БЦ, 1 сменный блок арт.ТК120_27832</t>
  </si>
  <si>
    <t>Тетрадь А5 120л на кольцах ArtSpace "Стиль. Bright &amp; Sweet", 7БЦ, 1 сменный блок арт.ТК120_27837</t>
  </si>
  <si>
    <t>Тетрадь А5 120л на кольцах ArtSpace "Стиль. Dreams and travel", 7БЦ, 1 сменный блок арт.ТК120_27831</t>
  </si>
  <si>
    <t>Тетрадь А5 120л на кольцах ArtSpace "Стиль. Here and now", 7БЦ, 1 сменный блок арт.ТК120_27835</t>
  </si>
  <si>
    <t>Тетрадь А5 120л на кольцах ArtSpace "Узор. Fashion pattent", 7БЦ, 1 сменный блок, глянц. ламинация арт.ТК120_27829</t>
  </si>
  <si>
    <t>Тетрадь А5 160л на кольцах Альт "Ученый кот", 7БЦ со сменным блоком арт.7-160-081/69</t>
  </si>
  <si>
    <t>Тетрадь А5 240л на кольцах ArtSpace "Моноколор. Notebook", 7БЦ,  4 разд., глянц. ламинация, сменный блок арт.ТК240_20364</t>
  </si>
  <si>
    <t>Тетрадь А5 80л на кольцах ErichKrause "GLANCE NEON" пластиковая обложка, на кнопке арт.43537</t>
  </si>
  <si>
    <t>Тетрадь А5 80л на кольцах ErichKrause "GLANCE VIVID" пластиковая обложка на кнопке арт.43544</t>
  </si>
  <si>
    <t>Тетрадь А5 80л на кольцах ErichKrause "Pastel" пластиковая обложка арт.50164</t>
  </si>
  <si>
    <t>Тетрадь А5+ 48л в клетку с пластиковой обложкой "Neon" голубой арт.46937</t>
  </si>
  <si>
    <t>Тетрадь А5+ 48л в клетку с пластиковой обложкой "Neon" розовый арт.46938</t>
  </si>
  <si>
    <t>Тетрадь А5+ 60л на спирали "Buttons", пластик. обложка, в клетку арт.45967</t>
  </si>
  <si>
    <t>Тетрадь для нот А4 08л., вертикальная арт.ТдНв08_15081</t>
  </si>
  <si>
    <t>Тетрадь для нот А4 16л., вертикальная арт.ТдНв16_15083</t>
  </si>
  <si>
    <t>Тетрадь для нот А4 24л., вертикальная арт.ТдНв24_15085</t>
  </si>
  <si>
    <t>Точилка Adel "Prime" пластиковая, двухцветная, арт. 2260000005</t>
  </si>
  <si>
    <t>Точилка deVENTE  механическая "Ананас" 10,6х7,2х10,3 см, 1 отверстие, с контейнером, арт. 4071903</t>
  </si>
  <si>
    <t>Точилка deVENTE  механическая "Панда", 8,2х7,1х9см, 1 отверстие, с контейнером, пластмассовая, арт. 4071729</t>
  </si>
  <si>
    <t>Точилка deVENTE  механическая "Утенок" 9,2х12,2х9,7 см, 1 отверстие, с контейнером, арт. 4071902</t>
  </si>
  <si>
    <t>Точилка deVENTE  механическая "Футбольный мяч" пластмассовая, 1 отверстие с контейнером, арт. 4071900</t>
  </si>
  <si>
    <t>Точилка deVENTE  механическая "Яблоко", 1 отверстие, с контейнером, пластмассовая, зелен., арт. 8031502</t>
  </si>
  <si>
    <t>Точилка deVENTE  механическая, 7,3х11,5х12,8 см, 1 отверстие, в пласт. коробке, красная, арт. 4071317</t>
  </si>
  <si>
    <t>Точилка deVENTE "Зайчик" пластмассовая, 1 отверстие с контейнером, арт. 8031812</t>
  </si>
  <si>
    <t>Точилка deVENTE "Зубик" пластмассовая, 1 отверстие с контейнером, арт. 8031904</t>
  </si>
  <si>
    <t>Точилка deVENTE "Машинка" пластмассовая, 1 отверстие с контейнером, арт. 4071803</t>
  </si>
  <si>
    <t>Точилка deVENTE "Мишка" пластмассовая, 1 отверстие с контейнером, арт. 8031903</t>
  </si>
  <si>
    <t>Точилка deVENTE "Морковка" пластмассовая, 1 отверстие с контейнером, арт. 8031901</t>
  </si>
  <si>
    <t>Точилка алюминиевая ErichKrause "FERRO" на одно отверстие арт.7074</t>
  </si>
  <si>
    <t>Транспортир 08см  флю прозр. 4цв арт.ТР01</t>
  </si>
  <si>
    <t>Транспортир 08см 180 NEON Cristal ассорти арт.ТР010</t>
  </si>
  <si>
    <t>Транспортир 10см 180* отливн. шкала NEON Cristal ассорти, арт. ТР210</t>
  </si>
  <si>
    <t>Транспортир 10см 180* флю прозр. 4цв. с отл. шкалой арт.ТР21</t>
  </si>
  <si>
    <t>Транспортир 12см 180*  NEON Cristal ассорти арт.ТР340</t>
  </si>
  <si>
    <t>Транспортир 12см 180*  флю прозр. 4цв арт.ТР31</t>
  </si>
  <si>
    <t>Транспортир 180*125 KOH-I-NOOR коричневый тонир. арт.746239</t>
  </si>
  <si>
    <t>Транспортир 360* 10см флю прозр. 4цв. арт.ТР41</t>
  </si>
  <si>
    <t>Транспортир классный деревянный 40 см арт.С176</t>
  </si>
  <si>
    <t>Трафарет  окружностей  1-36 мм  зеленый, арт.ТТ21</t>
  </si>
  <si>
    <t>Трафарет графиков функций отливн.шкала зеленый, арт. ТТ61</t>
  </si>
  <si>
    <t>Треугольник 10/30 флю 4цв арт.ТК23</t>
  </si>
  <si>
    <t>Треугольник 12/45 NEON Cristal ассорти арт.ТК440</t>
  </si>
  <si>
    <t>Треугольник 12/45 флю проз. 4цв арт.ТК44</t>
  </si>
  <si>
    <t>Треугольник 13/30 флю прозр. 4цв арт.ТК330</t>
  </si>
  <si>
    <t>Треугольник 18/30 Neon Cristal ассорти арт.ТК470</t>
  </si>
  <si>
    <t>Треугольник 18/30 флю проз. 4цв арт.ТК47</t>
  </si>
  <si>
    <t>Треугольник 45/113 с выделенной цветной шкалой KOH-I-NOOR арт.703031</t>
  </si>
  <si>
    <t>Треугольник 45/177 с выделенной цветной шкалой, с ручкой KOH-I-NOOR арт.703044</t>
  </si>
  <si>
    <t>Треугольник 7/45 флю  4цв арт.ТК22</t>
  </si>
  <si>
    <t>Треугольник деревянный 30*, длина 16см арт.С139</t>
  </si>
  <si>
    <t>Треугольник деревянный 45*, длина 16см арт.С16</t>
  </si>
  <si>
    <t>Треугольник классный 45* деревянный, без шкалы арт.С370</t>
  </si>
  <si>
    <t>Треугольник с транспортиром 30*16см NEON Cristal ассорти арт.ТК010</t>
  </si>
  <si>
    <t>Тубус с ручкой 3-х секционный D100мм, L650мм серый арт.ПТ42</t>
  </si>
  <si>
    <t>Тубус с ручкой 3-х секционный D100мм, L650мм черный арт.ПТ41</t>
  </si>
  <si>
    <t>Тубус с ручкой D90мм, L700мм серый арт.ПТ22</t>
  </si>
  <si>
    <t>Тубус с ручкой D90мм, L700мм черный арт.ПТ21</t>
  </si>
  <si>
    <t>Тубус телескоп. D65мм, L400-700мм серый арт.ПТ32</t>
  </si>
  <si>
    <t>Тубус телескоп. D65мм, L400-700мм черный арт.ПТ31</t>
  </si>
  <si>
    <t>Тубус телескоп. D90мм, L700-1100мм серый на шнурке арт.ПТ02</t>
  </si>
  <si>
    <t>Тубус телескоп. D90мм, L700-1100мм черный на шнурке арт.ПТ01</t>
  </si>
  <si>
    <t>Тубус телескоп.D90мм, L700-1100мм серый на ремне арт.ПТ12</t>
  </si>
  <si>
    <t>Тубус телескоп.D90мм, L700-1100мм черный на ремне арт.ПТ11</t>
  </si>
  <si>
    <t>Тушь KOH-I-NOOR черная, 20гр. арт.141701002</t>
  </si>
  <si>
    <t>УКАЗКА цветная пластм. длина 40см арт.СП11</t>
  </si>
  <si>
    <t>Увелич. стекло (лупа) с четырехкратным увеличением "deVENTE" диам.70мм, ручка из натур. дерева, арт. 4080805</t>
  </si>
  <si>
    <t>Увлажнитель для пальцев "круглый" ассорти 4цв арт.УП02</t>
  </si>
  <si>
    <t>Уголь KOH-I-NOOR GIOCONDA CHARCOAL в карандаше искусственный черный средней твердости арт.8810002001KS</t>
  </si>
  <si>
    <t>Уголь KOH-I-NOOR GIOCONDA EXTRA CHARCOAL в карандаше черный мягкий, арт. 8811002003KS</t>
  </si>
  <si>
    <t>Уголь KOH-I-NOOR GIOCONDA EXTRA WHITE для рисования искусственный белый в карандаше  Medium арт.8812003003KS</t>
  </si>
  <si>
    <t>Файл-регистратор А4 на 2 кольцах ErichKrause WORK INSIDE, ламинированный, бордовый арт.19871</t>
  </si>
  <si>
    <t>Файл-регистратор А4/50мм ErichKrause Neon зеленый арт.45393</t>
  </si>
  <si>
    <t>Файл-регистратор А4/50мм ErichKrause ORIGINAL мрамор., красный арт.415</t>
  </si>
  <si>
    <t>Файл-регистратор А4/50мм ErichKrause ORIGINAL мрамор., черный арт.4671</t>
  </si>
  <si>
    <t>Файл-регистратор А4/70мм ErichKrause Neon голубой арт.45396</t>
  </si>
  <si>
    <t>Файл-регистратор А4/70мм OfficeSpace "Soda. Geometric", офсет арт.280478</t>
  </si>
  <si>
    <t>Файл-регистратор А4/70мм OfficeSpace "Soda. Marble", офсет арт.280480</t>
  </si>
  <si>
    <t>Файл-регистратор А4/70мм OfficeSpace "Soda. Soft pink", офсет арт.280477</t>
  </si>
  <si>
    <t>Файл-регистратор А4/70мм OfficeSpace "Soda. Tropical", офсет арт.280479</t>
  </si>
  <si>
    <t>Файл-регистратор А4/75мм Attomex мрамор., красный арт.3090703</t>
  </si>
  <si>
    <t>Файл-регистратор А4/75мм Attomex мрамор., черный арт.3090405</t>
  </si>
  <si>
    <t>Файл-регистратор А4/75мм Attomex мрамор., черный, разобранный арт.3090305</t>
  </si>
  <si>
    <t>Файл-регистратор А4/80мм Attomex. Lite ПВХ, синий арт.3093818</t>
  </si>
  <si>
    <t>Файл-регистратор А4/80мм Attomex. Lite ПВХ, черный арт.3093819</t>
  </si>
  <si>
    <t>Фотоальбом 11х16см,  36 фото 10х15см, ArtSpace "Nice succulent",ПП карман,мягкая обл.,переплет-термосварка  арт.PA_22215</t>
  </si>
  <si>
    <t>Фотоальбом 11х16см,  36 фото 10х15см, ArtSpace "Rose", ПП карман, мягкая обложка, переплет-термосварка  арт. PA_22213</t>
  </si>
  <si>
    <t>Фотоальбом 11х16см,  36 фото 10х15см, ArtSpace "Think happy", ПП карман,мягкая обл.,переплет-термосварка  арт.PA_22218</t>
  </si>
  <si>
    <t>Фотоальбом 11х16см,  36 фото 10х15см, ArtSpace "Travel", ПП карман, мягкая обложка, переплет-термосварка  арт. PA_22219</t>
  </si>
  <si>
    <t>Фотоальбом 11х16см,  36 фото 10х15см, ArtSpace "Your Style", ПП карман,мягкая обл.,переплет-термосварка  арт.PA_22211</t>
  </si>
  <si>
    <t>Фотоальбом 11х16см,  36 фото 10х15см, ArtSpace "Города мира", ПП карман,мягкая обл.,переплет-термосварка  арт.PA_22217</t>
  </si>
  <si>
    <t>Фотоальбом 13х17см, 100 фото 10х15см, ArtSpace "Best wishes", ПП карман, переплет-термосварка  арт. PA_22186</t>
  </si>
  <si>
    <t>Фотоальбом 13х17см, 100 фото 10х15см, ArtSpace "Deep Green", ПП карман, переплет-термосварка  арт. PA_22187</t>
  </si>
  <si>
    <t>Фотоальбом 13х17см, 100 фото 10х15см, ArtSpace "Soft pink", ПП карман, переплет-термосварка  арт. PA_22191</t>
  </si>
  <si>
    <t>Фотоальбом 13х17см, 100 фото 10х15см, ArtSpace "Лагуна", ПП карман, переплет-термосварка  арт. PA_22190</t>
  </si>
  <si>
    <t>Фотоальбом 18х23см, 200 фото 10х15см, ArtSpace "City view", ПП карман, переплет-термосварка  арт. PA_22198</t>
  </si>
  <si>
    <t>Фотоальбом 18х23см, 200 фото 10х15см, ArtSpace "Flowers", ПП карман, переплет-термосварка  арт. PA_22195</t>
  </si>
  <si>
    <t>Фотоальбом 18х23см, 200 фото 10х15см, ArtSpace "Hello", ПП карман, переплет-термосварка  арт. PA_22193</t>
  </si>
  <si>
    <t>Фотоальбом 18х23см, 200 фото 10х15см, ArtSpace "Memories", ПП карман, переплет-термосварка  арт. PA_22200</t>
  </si>
  <si>
    <t>Фотоальбом 18х23см, 200 фото 10х15см, ArtSpace "Peachy ", ПП карман, переплет-термосварка  арт. PA_22192</t>
  </si>
  <si>
    <t>Фотоальбом 18х33,5см, 300 фото 10х15см, ArtSpace "Chic", ПП карман, переплет-термосварка  арт. PA_22204</t>
  </si>
  <si>
    <t>Фотоальбом 18х33,5см, 300 фото 10х15см, ArtSpace "Neutral", ПП карман, переплет-термосварка  арт. PA_22205</t>
  </si>
  <si>
    <t>Фотоальбом 18х33,5см, 300 фото 10х15см, ArtSpace "Tropical", ПП карман, переплет-термосварка  арт. PA_22206</t>
  </si>
  <si>
    <t>Фотоальбом 23х28см, 10 магнитных листов 23х28см , ArtSpace "Happy", переплет-внутр.спираль  арт. PA_22175</t>
  </si>
  <si>
    <t>Фотоальбом 23х28см, 10 магнитных листов 23х28см , ArtSpace "Hello, cat", переплет-внутр.спираль  арт. PA_22173</t>
  </si>
  <si>
    <t>Фотоальбом 23х28см, 20 магнитных листов 23х28см , ArtSpace "Smile", переплет-внутр.спираль  арт. PA_22177</t>
  </si>
  <si>
    <t>Фотоальбом 23х28см, 20 магнитных листов 23х28см , ArtSpace "Travel time", переплет-внутр.спираль  арт. PA_22180</t>
  </si>
  <si>
    <t>Фотоальбом 23х28см, 20 магнитных листов 23х28см , ArtSpace "Модный", переплет-внутр.спираль  арт. PA_22178</t>
  </si>
  <si>
    <t>FC</t>
  </si>
  <si>
    <t>Фоторамка FC пластиковая, 10*15см, цвет белый №2 арт.RP 281 10*15</t>
  </si>
  <si>
    <t>Фоторамка FC пластиковая, 10*15см, цвет золото №2 арт.RP 296 10*15</t>
  </si>
  <si>
    <t>Фоторамка FC пластиковая, 10*15см, цвет серебро №2 арт.RP 290 10*15</t>
  </si>
  <si>
    <t>Фоторамка FC пластиковая, 10*15см, цвет темный орех №2 арт.RP 282 10*15</t>
  </si>
  <si>
    <t>Фоторамка FC пластиковая, 15*21см, цвет белый №2 арт.RP 281 15*21</t>
  </si>
  <si>
    <t>Фоторамка FC пластиковая, 15*21см, цвет золото №2 арт.RP 296 15*21</t>
  </si>
  <si>
    <t>Фоторамка FC пластиковая, 15*21см, цвет серебро №2 арт.RP 290 15*21</t>
  </si>
  <si>
    <t>Фоторамка FC пластиковая, 15*21см, цвет темный орех №2 арт.RP 282 15*21</t>
  </si>
  <si>
    <t>Фоторамка FC пластиковая, 15*21см, цвет яшма №2 арт.RP 283 15*21</t>
  </si>
  <si>
    <t>Фоторамка FC пластиковая, 21*30см, цвет античное золото №14 арт.RP 1450 21*30</t>
  </si>
  <si>
    <t>Фоторамка FC пластиковая, 21*30см, цвет античное серебро №14 арт.RP 1451 21*30</t>
  </si>
  <si>
    <t>Фоторамка FC пластиковая, 21*30см, цвет белый №14 арт.RP 1481 21*30</t>
  </si>
  <si>
    <t>Фоторамка FC пластиковая, 21*30см, цвет белый №2 арт.RP 281 21*30</t>
  </si>
  <si>
    <t>Фоторамка FC пластиковая, 21*30см, цвет бирюза №2 арт.RP 284 21*30</t>
  </si>
  <si>
    <t>Фоторамка FC пластиковая, 21*30см, цвет бук №14 арт.RP 1487 21*30</t>
  </si>
  <si>
    <t>Фоторамка FC пластиковая, 21*30см, цвет золото №2 арт.RP 296 21*30</t>
  </si>
  <si>
    <t>Фоторамка FC пластиковая, 21*30см, цвет малахит №2 арт.RP 285 21*30</t>
  </si>
  <si>
    <t>Фоторамка FC пластиковая, 21*30см, цвет серебро №2 арт.RP 290 21*30</t>
  </si>
  <si>
    <t>Фоторамка FC пластиковая, 21*30см, цвет темный орех №2 арт.RP 282 21*30</t>
  </si>
  <si>
    <t>Фоторамка FC пластиковая, 21*30см, цвет яшма №2 арт.RP 283 21*30</t>
  </si>
  <si>
    <t>Фоторамка FC пластиковая, 30*40см, цвет белый №2 арт.RP 281 30*40</t>
  </si>
  <si>
    <t>Фоторамка FC пластиковая, 30*40см, цвет золото №2 арт.RP 296 30*40</t>
  </si>
  <si>
    <t>Фоторамка FC пластиковая, 30*40см, цвет серебро №2 арт.RP 290 30*40</t>
  </si>
  <si>
    <t>Фоторамка FC пластиковая, 30*40см, цвет темный орех №2 арт.RP 282 30*40</t>
  </si>
  <si>
    <t>Фоторамка FC пластиковая, 30*40см, цвет яшма №2 арт.RP 283 30*40</t>
  </si>
  <si>
    <t>Циркуль-измеритель deVENTE в защитном чехле, черный арт.5098801</t>
  </si>
  <si>
    <t>Чековая лента 37*12*25 ТЕРМО STARLESS д/касс. аппаратов, 18м арт.37*12*25</t>
  </si>
  <si>
    <t>Чековая лента 57*12, 18м ТЕРМО LOMOND д/касс. аппаратов, 57г/м2 арт.57*12 Lomond</t>
  </si>
  <si>
    <t>Чернила KOH-I-NOOR 50гр.  синие арт.141500</t>
  </si>
  <si>
    <t>Чернила KOH-I-NOOR 50гр.  черные арт.141505</t>
  </si>
  <si>
    <t>Чернила д/перьев. ручек "Parker" 57 мл., черные арт.S0037460/1950375</t>
  </si>
  <si>
    <t>Чистящий порошок 480г ПЕМОЛЮКС "Лимон. Сода 5" арт.1891732</t>
  </si>
  <si>
    <t>Шаблон радиусов KOH-I-NOOR арт.749002</t>
  </si>
  <si>
    <t>Шары воздушные deVENTE 25 см, перламутровые цвета, ассорти, арт. 9061701</t>
  </si>
  <si>
    <t>Шары воздушные deVENTE 25 см, стандартные цвета, ассорти, арт. 9061700</t>
  </si>
  <si>
    <t>Штемпельная подушка 120*60мм без краски KOH-I-NOOR арт.701034</t>
  </si>
  <si>
    <t>Штемпельная подушка Berlingo 100*80мм неокрашенная арт.KDp_81000</t>
  </si>
  <si>
    <t>Штрих-корректор deVENTE 20мл в бутылочке с кисточкой, на водной основе, арт.4060900</t>
  </si>
  <si>
    <t>Штрих-корректор в ленте ErichKrause "Extra" 5мм* 8м в пакетике арт.46142</t>
  </si>
  <si>
    <t>Штрих-корректор в ленте deVENTE "Flamingo" 5мм*6м в картон. блистере арт.4062905</t>
  </si>
  <si>
    <t>Штрих-корректор в ленте deVENTE "Meow" 5мм*6м в картон. блистере арт.4062903</t>
  </si>
  <si>
    <t>Штрих-корректор в ленте deVENTE "Rabbit" 5мм*6м в картон. блистере арт.4062904</t>
  </si>
  <si>
    <t>Этикет-лента 21*12 белая, 30 шт. спайка (700 шт в 1 рулоне) арт.21*12 белая_700</t>
  </si>
  <si>
    <t>Этикет-лента 21*12 зеленая, 30 шт. спайка (1000 шт в 1 рулоне) арт.21*12 зел</t>
  </si>
  <si>
    <t>Этикет-лента белая 21*12, 10 шт. спайка (350 шт), цена за 10рул. арт.МС-702</t>
  </si>
  <si>
    <t>Этикет-лента цветная 30*20мм (170 шт./рул) с надписью "Цена", цена за 1 рул.  арт.МС-600</t>
  </si>
  <si>
    <t>Этикет-пистолет однострочный MX-5500 new арт.MX 5500</t>
  </si>
  <si>
    <t>Этикет-пистолет однострочный арт.5500 rub</t>
  </si>
  <si>
    <t>4627077800010</t>
  </si>
  <si>
    <t>8593539138259</t>
  </si>
  <si>
    <t>5000394116054</t>
  </si>
  <si>
    <t>5000394115965</t>
  </si>
  <si>
    <t>4607031187708</t>
  </si>
  <si>
    <t>4627171039170</t>
  </si>
  <si>
    <t>4620000637479</t>
  </si>
  <si>
    <t>4627171039194</t>
  </si>
  <si>
    <t>4627171039217</t>
  </si>
  <si>
    <t>4627158611689</t>
  </si>
  <si>
    <t>4627158611702</t>
  </si>
  <si>
    <t>4627158611726</t>
  </si>
  <si>
    <t>4601921051391</t>
  </si>
  <si>
    <t>4601921027235</t>
  </si>
  <si>
    <t>4601921027211</t>
  </si>
  <si>
    <t>4601921027198</t>
  </si>
  <si>
    <t>5907636707035</t>
  </si>
  <si>
    <t>5907636707028</t>
  </si>
  <si>
    <t>4680211261023</t>
  </si>
  <si>
    <t>4680211261009</t>
  </si>
  <si>
    <t>4680211257019</t>
  </si>
  <si>
    <t>4680211256999</t>
  </si>
  <si>
    <t>4606016453838</t>
  </si>
  <si>
    <t>4606016453791</t>
  </si>
  <si>
    <t>4606016147591</t>
  </si>
  <si>
    <t>4606016442788</t>
  </si>
  <si>
    <t>4606016091900</t>
  </si>
  <si>
    <t>4606016179134</t>
  </si>
  <si>
    <t>4606016443044</t>
  </si>
  <si>
    <t>4606016179219</t>
  </si>
  <si>
    <t>4606016179233</t>
  </si>
  <si>
    <t>4680211203702</t>
  </si>
  <si>
    <t>4680211249113</t>
  </si>
  <si>
    <t>4606016442665</t>
  </si>
  <si>
    <t>4606016442641</t>
  </si>
  <si>
    <t>4606016442726</t>
  </si>
  <si>
    <t>4606016442764</t>
  </si>
  <si>
    <t>4606016087392</t>
  </si>
  <si>
    <t>4680211214630</t>
  </si>
  <si>
    <t>4680211214692</t>
  </si>
  <si>
    <t>4680211273576</t>
  </si>
  <si>
    <t>4680211214678</t>
  </si>
  <si>
    <t>4680211214616</t>
  </si>
  <si>
    <t>4680211214791</t>
  </si>
  <si>
    <t>4680211214739</t>
  </si>
  <si>
    <t>4680211214753</t>
  </si>
  <si>
    <t>4680211214777</t>
  </si>
  <si>
    <t>4606016442863</t>
  </si>
  <si>
    <t>4606016210929</t>
  </si>
  <si>
    <t>4606016442801</t>
  </si>
  <si>
    <t>4606016179158</t>
  </si>
  <si>
    <t>4680211248802</t>
  </si>
  <si>
    <t>4680211214838</t>
  </si>
  <si>
    <t>4680211214890</t>
  </si>
  <si>
    <t>4680211214814</t>
  </si>
  <si>
    <t>4680211214852</t>
  </si>
  <si>
    <t>4680211239855</t>
  </si>
  <si>
    <t>4680211259396</t>
  </si>
  <si>
    <t>4680211259419</t>
  </si>
  <si>
    <t>4680211120535</t>
  </si>
  <si>
    <t>4606016186262</t>
  </si>
  <si>
    <t>4606016458512</t>
  </si>
  <si>
    <t>4606016458413</t>
  </si>
  <si>
    <t>4606016458574</t>
  </si>
  <si>
    <t>4606016458536</t>
  </si>
  <si>
    <t>4606016458475</t>
  </si>
  <si>
    <t>4606016458451</t>
  </si>
  <si>
    <t>4606016449596</t>
  </si>
  <si>
    <t>4680211222406</t>
  </si>
  <si>
    <t>4606016087316</t>
  </si>
  <si>
    <t>4606016087279</t>
  </si>
  <si>
    <t>4606016442825</t>
  </si>
  <si>
    <t>4680211222321</t>
  </si>
  <si>
    <t>4680211222420</t>
  </si>
  <si>
    <t>4606016118997</t>
  </si>
  <si>
    <t>4606016442948</t>
  </si>
  <si>
    <t>4606016118980</t>
  </si>
  <si>
    <t>4680211196165</t>
  </si>
  <si>
    <t>4680211225483</t>
  </si>
  <si>
    <t>4680211196189</t>
  </si>
  <si>
    <t>4815694000016</t>
  </si>
  <si>
    <t>4680211002626</t>
  </si>
  <si>
    <t>5602024381377</t>
  </si>
  <si>
    <t>3329680180701</t>
  </si>
  <si>
    <t>4627149625336</t>
  </si>
  <si>
    <t>4680211049676</t>
  </si>
  <si>
    <t>4680211049713</t>
  </si>
  <si>
    <t>4680211127305</t>
  </si>
  <si>
    <t>4680211127312</t>
  </si>
  <si>
    <t>4680211049669</t>
  </si>
  <si>
    <t>4627093351602</t>
  </si>
  <si>
    <t>4627127732834</t>
  </si>
  <si>
    <t>9003974400174</t>
  </si>
  <si>
    <t>9003974406398</t>
  </si>
  <si>
    <t>7392520132297</t>
  </si>
  <si>
    <t>4607090582957</t>
  </si>
  <si>
    <t>4607090580823</t>
  </si>
  <si>
    <t>4607090581325</t>
  </si>
  <si>
    <t>4607112470590</t>
  </si>
  <si>
    <t>4607112470583</t>
  </si>
  <si>
    <t>4660018584051</t>
  </si>
  <si>
    <t>4660018584068</t>
  </si>
  <si>
    <t>4607031181133</t>
  </si>
  <si>
    <t>4606016213715</t>
  </si>
  <si>
    <t>4607001201557</t>
  </si>
  <si>
    <t>0023942438441</t>
  </si>
  <si>
    <t>4620000639053</t>
  </si>
  <si>
    <t>4620000638957</t>
  </si>
  <si>
    <t>4627169206010</t>
  </si>
  <si>
    <t>4810256019529</t>
  </si>
  <si>
    <t>4606016037885</t>
  </si>
  <si>
    <t>4606016037946</t>
  </si>
  <si>
    <t>4606016037922</t>
  </si>
  <si>
    <t>4606016441521</t>
  </si>
  <si>
    <t>4606016441606</t>
  </si>
  <si>
    <t>4606016441620</t>
  </si>
  <si>
    <t>4606016441583</t>
  </si>
  <si>
    <t>4680211249168</t>
  </si>
  <si>
    <t>4680211249212</t>
  </si>
  <si>
    <t>4680211195076</t>
  </si>
  <si>
    <t>4680211195151</t>
  </si>
  <si>
    <t>4627149628948</t>
  </si>
  <si>
    <t>4627149628986</t>
  </si>
  <si>
    <t>4627116582365</t>
  </si>
  <si>
    <t>4627146290889</t>
  </si>
  <si>
    <t>4627160450344</t>
  </si>
  <si>
    <t>4627160450368</t>
  </si>
  <si>
    <t>4627160450382</t>
  </si>
  <si>
    <t>4627158613447</t>
  </si>
  <si>
    <t>4627158613461</t>
  </si>
  <si>
    <t>4627158616790</t>
  </si>
  <si>
    <t>4627158616813</t>
  </si>
  <si>
    <t>4627158616875</t>
  </si>
  <si>
    <t>4627158616899</t>
  </si>
  <si>
    <t>4627158613560</t>
  </si>
  <si>
    <t>4627158613584</t>
  </si>
  <si>
    <t>4627158613607</t>
  </si>
  <si>
    <t>4627158617155</t>
  </si>
  <si>
    <t>4627158617254</t>
  </si>
  <si>
    <t>4627158617292</t>
  </si>
  <si>
    <t>4627158617315</t>
  </si>
  <si>
    <t>4606016125049</t>
  </si>
  <si>
    <t>4606016215542</t>
  </si>
  <si>
    <t>4606016215603</t>
  </si>
  <si>
    <t>4606016289178</t>
  </si>
  <si>
    <t>4606016289192</t>
  </si>
  <si>
    <t>4606016180444</t>
  </si>
  <si>
    <t>4606016215702</t>
  </si>
  <si>
    <t>4606016180505</t>
  </si>
  <si>
    <t>4606016180642</t>
  </si>
  <si>
    <t>4606016215269</t>
  </si>
  <si>
    <t>4606016180604</t>
  </si>
  <si>
    <t>4606016441972</t>
  </si>
  <si>
    <t>4606016442054</t>
  </si>
  <si>
    <t>4606016442078</t>
  </si>
  <si>
    <t>4606016441910</t>
  </si>
  <si>
    <t>4606016441958</t>
  </si>
  <si>
    <t>4606016144958</t>
  </si>
  <si>
    <t>4606016145016</t>
  </si>
  <si>
    <t>4606016145276</t>
  </si>
  <si>
    <t>4606016144996</t>
  </si>
  <si>
    <t>4606016447370</t>
  </si>
  <si>
    <t>4606016447356</t>
  </si>
  <si>
    <t>4680211231897</t>
  </si>
  <si>
    <t>4680211231910</t>
  </si>
  <si>
    <t>4680211231873</t>
  </si>
  <si>
    <t>4627079498239</t>
  </si>
  <si>
    <t>4627077802496</t>
  </si>
  <si>
    <t>4627077802519</t>
  </si>
  <si>
    <t>4627158614123</t>
  </si>
  <si>
    <t>4680211195533</t>
  </si>
  <si>
    <t>4680211226282</t>
  </si>
  <si>
    <t>4680211248963</t>
  </si>
  <si>
    <t>4680211248864</t>
  </si>
  <si>
    <t>4680211248949</t>
  </si>
  <si>
    <t>4627158614062</t>
  </si>
  <si>
    <t>4627158614109</t>
  </si>
  <si>
    <t>4627158618497</t>
  </si>
  <si>
    <t>4627158618558</t>
  </si>
  <si>
    <t>4627160453994</t>
  </si>
  <si>
    <t>4680211250539</t>
  </si>
  <si>
    <t>4606782326510</t>
  </si>
  <si>
    <t>4812126006219</t>
  </si>
  <si>
    <t>4812126006110</t>
  </si>
  <si>
    <t>4562195130680</t>
  </si>
  <si>
    <t>4562195132820</t>
  </si>
  <si>
    <t>4560196212527</t>
  </si>
  <si>
    <t>4560196212497</t>
  </si>
  <si>
    <t>4560196212671</t>
  </si>
  <si>
    <t>4560196212701</t>
  </si>
  <si>
    <t>4562195131625</t>
  </si>
  <si>
    <t>8681241123189</t>
  </si>
  <si>
    <t>8681241098838</t>
  </si>
  <si>
    <t>8681241123417</t>
  </si>
  <si>
    <t>8681241083414</t>
  </si>
  <si>
    <t>8681341105918</t>
  </si>
  <si>
    <t>8681241123332</t>
  </si>
  <si>
    <t>8681241133874</t>
  </si>
  <si>
    <t>8681241123226</t>
  </si>
  <si>
    <t>8681241123264</t>
  </si>
  <si>
    <t>8681241083452</t>
  </si>
  <si>
    <t>4606016351417</t>
  </si>
  <si>
    <t>4606016446182</t>
  </si>
  <si>
    <t>4041485435778</t>
  </si>
  <si>
    <t>8593539007791</t>
  </si>
  <si>
    <t>8593539122876</t>
  </si>
  <si>
    <t>8593539121886</t>
  </si>
  <si>
    <t>4627149621796</t>
  </si>
  <si>
    <t>4627079493203</t>
  </si>
  <si>
    <t>4606016457959</t>
  </si>
  <si>
    <t>4606016383906</t>
  </si>
  <si>
    <t>4606016383982</t>
  </si>
  <si>
    <t>4606016383869</t>
  </si>
  <si>
    <t>4606016383784</t>
  </si>
  <si>
    <t>4606016384026</t>
  </si>
  <si>
    <t>4041485449669</t>
  </si>
  <si>
    <t>4606998785880</t>
  </si>
  <si>
    <t>4606998785897</t>
  </si>
  <si>
    <t>4606998785866</t>
  </si>
  <si>
    <t>4606998785873</t>
  </si>
  <si>
    <t>4680211131111</t>
  </si>
  <si>
    <t>4260107477495</t>
  </si>
  <si>
    <t>4041485453895</t>
  </si>
  <si>
    <t>4627127731424</t>
  </si>
  <si>
    <t>4627127731448</t>
  </si>
  <si>
    <t>4627127731462</t>
  </si>
  <si>
    <t>4607031189917</t>
  </si>
  <si>
    <t>4660018584150</t>
  </si>
  <si>
    <t>4660018584167</t>
  </si>
  <si>
    <t>4660018584143</t>
  </si>
  <si>
    <t>4660018580718</t>
  </si>
  <si>
    <t>9785952301955</t>
  </si>
  <si>
    <t>9785952302235</t>
  </si>
  <si>
    <t>4690626001206</t>
  </si>
  <si>
    <t>4690626001237</t>
  </si>
  <si>
    <t>4690626003026</t>
  </si>
  <si>
    <t>4690626001121</t>
  </si>
  <si>
    <t>4627149629877</t>
  </si>
  <si>
    <t>4601185008834</t>
  </si>
  <si>
    <t>4601185008841</t>
  </si>
  <si>
    <t>4601185008858</t>
  </si>
  <si>
    <t>4601185008865</t>
  </si>
  <si>
    <t>4601185008872</t>
  </si>
  <si>
    <t>4602827000025</t>
  </si>
  <si>
    <t>4627078936343</t>
  </si>
  <si>
    <t>4041485023685</t>
  </si>
  <si>
    <t>4041485044468</t>
  </si>
  <si>
    <t>4627146340133</t>
  </si>
  <si>
    <t>4627166411561</t>
  </si>
  <si>
    <t>4627166411585</t>
  </si>
  <si>
    <t>4680211263096</t>
  </si>
  <si>
    <t>4680211263119</t>
  </si>
  <si>
    <t>4680211263072</t>
  </si>
  <si>
    <t>4680211263089</t>
  </si>
  <si>
    <t>4680211052010</t>
  </si>
  <si>
    <t>4680211263058</t>
  </si>
  <si>
    <t>4680211263027</t>
  </si>
  <si>
    <t>4680211263034</t>
  </si>
  <si>
    <t>4041485078517</t>
  </si>
  <si>
    <t>4627096901767</t>
  </si>
  <si>
    <t>4680211160548</t>
  </si>
  <si>
    <t>4260107494362</t>
  </si>
  <si>
    <t>4606016403505</t>
  </si>
  <si>
    <t>4606016403536</t>
  </si>
  <si>
    <t>4041485379096</t>
  </si>
  <si>
    <t>8593539106234</t>
  </si>
  <si>
    <t>8593539075844</t>
  </si>
  <si>
    <t>8593539317333</t>
  </si>
  <si>
    <t>9556091142118</t>
  </si>
  <si>
    <t>4627125394102</t>
  </si>
  <si>
    <t>4627121494325</t>
  </si>
  <si>
    <t>4607025339489</t>
  </si>
  <si>
    <t>4660000865670</t>
  </si>
  <si>
    <t>4680211181093</t>
  </si>
  <si>
    <t>4680211181123</t>
  </si>
  <si>
    <t>4627160454755</t>
  </si>
  <si>
    <t>4627160454779</t>
  </si>
  <si>
    <t>4627077804513</t>
  </si>
  <si>
    <t>4627077804872</t>
  </si>
  <si>
    <t>4627077805053</t>
  </si>
  <si>
    <t>4620000638988</t>
  </si>
  <si>
    <t>4627077805077</t>
  </si>
  <si>
    <t>4627077804933</t>
  </si>
  <si>
    <t>4670004019276</t>
  </si>
  <si>
    <t>4627160458395</t>
  </si>
  <si>
    <t>4670004012413</t>
  </si>
  <si>
    <t>4620000634324</t>
  </si>
  <si>
    <t>4670028112151</t>
  </si>
  <si>
    <t>4670028112168</t>
  </si>
  <si>
    <t>4670028112144</t>
  </si>
  <si>
    <t>4670028112175</t>
  </si>
  <si>
    <t>4620011431936</t>
  </si>
  <si>
    <t>4620011432261</t>
  </si>
  <si>
    <t>4650066309157</t>
  </si>
  <si>
    <t>4620000630500</t>
  </si>
  <si>
    <t>4670004011546</t>
  </si>
  <si>
    <t>4670004012895</t>
  </si>
  <si>
    <t>4620011432568</t>
  </si>
  <si>
    <t>4620011432575</t>
  </si>
  <si>
    <t>4620011432551</t>
  </si>
  <si>
    <t>4620011432582</t>
  </si>
  <si>
    <t>4620018135165</t>
  </si>
  <si>
    <t>4620018135196</t>
  </si>
  <si>
    <t>4620018135172</t>
  </si>
  <si>
    <t>4620018135189</t>
  </si>
  <si>
    <t>4650066306699</t>
  </si>
  <si>
    <t>4041485225140</t>
  </si>
  <si>
    <t>4041485225096</t>
  </si>
  <si>
    <t>5705831008458</t>
  </si>
  <si>
    <t>4620000637202</t>
  </si>
  <si>
    <t>4627160454335</t>
  </si>
  <si>
    <t>4627160454359</t>
  </si>
  <si>
    <t>4627160454373</t>
  </si>
  <si>
    <t>8595013637227</t>
  </si>
  <si>
    <t>4627077809792</t>
  </si>
  <si>
    <t>4627149622519</t>
  </si>
  <si>
    <t>4627093351213</t>
  </si>
  <si>
    <t>4606016416192</t>
  </si>
  <si>
    <t>8595013636985</t>
  </si>
  <si>
    <t>8595013636992</t>
  </si>
  <si>
    <t>8595013636961</t>
  </si>
  <si>
    <t>8595013636978</t>
  </si>
  <si>
    <t>4627135524971</t>
  </si>
  <si>
    <t>4627149621239</t>
  </si>
  <si>
    <t>8595013637005</t>
  </si>
  <si>
    <t>4680211091279</t>
  </si>
  <si>
    <t>8593540000040</t>
  </si>
  <si>
    <t>4601262000041</t>
  </si>
  <si>
    <t>4750650213546</t>
  </si>
  <si>
    <t>4750650213553</t>
  </si>
  <si>
    <t>4750650213539</t>
  </si>
  <si>
    <t>4690358047718</t>
  </si>
  <si>
    <t>4690358232664</t>
  </si>
  <si>
    <t>4690358232381</t>
  </si>
  <si>
    <t>5413149157422</t>
  </si>
  <si>
    <t>4810273001699</t>
  </si>
  <si>
    <t>4690626041400</t>
  </si>
  <si>
    <t>4690626046078</t>
  </si>
  <si>
    <t>4620000638070</t>
  </si>
  <si>
    <t>4620000638032</t>
  </si>
  <si>
    <t>4620000638056</t>
  </si>
  <si>
    <t>4627154330423</t>
  </si>
  <si>
    <t>4620000630173</t>
  </si>
  <si>
    <t>4260107484271</t>
  </si>
  <si>
    <t>4260107471899</t>
  </si>
  <si>
    <t>4260107471912</t>
  </si>
  <si>
    <t>4606782169599</t>
  </si>
  <si>
    <t>4606782169582</t>
  </si>
  <si>
    <t>4260107471974</t>
  </si>
  <si>
    <t>8712794891222</t>
  </si>
  <si>
    <t>8712794891178</t>
  </si>
  <si>
    <t>8712794891239</t>
  </si>
  <si>
    <t>8712794891345</t>
  </si>
  <si>
    <t>4680211076498</t>
  </si>
  <si>
    <t>4627135527095</t>
  </si>
  <si>
    <t>4627135527033</t>
  </si>
  <si>
    <t>4041485191582</t>
  </si>
  <si>
    <t>4627077803394</t>
  </si>
  <si>
    <t>4041485500315</t>
  </si>
  <si>
    <t>4041485150336</t>
  </si>
  <si>
    <t>4627079407859</t>
  </si>
  <si>
    <t>4627079408054</t>
  </si>
  <si>
    <t>8593539133711</t>
  </si>
  <si>
    <t>8593539133698</t>
  </si>
  <si>
    <t>8593539131427</t>
  </si>
  <si>
    <t>4680211050535</t>
  </si>
  <si>
    <t>4680211050559</t>
  </si>
  <si>
    <t>4680211050634</t>
  </si>
  <si>
    <t>4680211050665</t>
  </si>
  <si>
    <t>4607031181706</t>
  </si>
  <si>
    <t>4607031187425</t>
  </si>
  <si>
    <t>4660018582255</t>
  </si>
  <si>
    <t>4607031187401</t>
  </si>
  <si>
    <t>4610004550010</t>
  </si>
  <si>
    <t>4607031180457</t>
  </si>
  <si>
    <t>4607031182055</t>
  </si>
  <si>
    <t>4607031180433</t>
  </si>
  <si>
    <t>4650100120649</t>
  </si>
  <si>
    <t>4680211079802</t>
  </si>
  <si>
    <t>4627086821679</t>
  </si>
  <si>
    <t>4610008526912</t>
  </si>
  <si>
    <t>4650100120830</t>
  </si>
  <si>
    <t>4680211028107</t>
  </si>
  <si>
    <t>4680211028114</t>
  </si>
  <si>
    <t>4607031180532</t>
  </si>
  <si>
    <t>4607031182086</t>
  </si>
  <si>
    <t>4607031180518</t>
  </si>
  <si>
    <t>4660018581944</t>
  </si>
  <si>
    <t>4660018581968</t>
  </si>
  <si>
    <t>4660018582309</t>
  </si>
  <si>
    <t>4660018581920</t>
  </si>
  <si>
    <t>4660018583283</t>
  </si>
  <si>
    <t>4680211077723</t>
  </si>
  <si>
    <t>4660018582934</t>
  </si>
  <si>
    <t>4660018582972</t>
  </si>
  <si>
    <t>4607031181614</t>
  </si>
  <si>
    <t>4660018582231</t>
  </si>
  <si>
    <t>4600171438754</t>
  </si>
  <si>
    <t>4600171397754</t>
  </si>
  <si>
    <t>9004362424871</t>
  </si>
  <si>
    <t>4714033305983</t>
  </si>
  <si>
    <t>4630073600089</t>
  </si>
  <si>
    <t>4630073600096</t>
  </si>
  <si>
    <t>4650070132895</t>
  </si>
  <si>
    <t>4650070135162</t>
  </si>
  <si>
    <t>4650070139955</t>
  </si>
  <si>
    <t>4650070139764</t>
  </si>
  <si>
    <t>4650070135018</t>
  </si>
  <si>
    <t>4607112246263</t>
  </si>
  <si>
    <t>4630073600249</t>
  </si>
  <si>
    <t>4650070139887</t>
  </si>
  <si>
    <t>4650070131959</t>
  </si>
  <si>
    <t>4607112249349</t>
  </si>
  <si>
    <t>4650070137845</t>
  </si>
  <si>
    <t>4607112249363</t>
  </si>
  <si>
    <t>4650070135315</t>
  </si>
  <si>
    <t>4650070136428</t>
  </si>
  <si>
    <t>4650070138156</t>
  </si>
  <si>
    <t>4650070138149</t>
  </si>
  <si>
    <t>4650070138170</t>
  </si>
  <si>
    <t>4650070138187</t>
  </si>
  <si>
    <t>4650070137609</t>
  </si>
  <si>
    <t>4650070137616</t>
  </si>
  <si>
    <t>4607112249486</t>
  </si>
  <si>
    <t>4607112242616</t>
  </si>
  <si>
    <t>4607112242432</t>
  </si>
  <si>
    <t>4650070130754</t>
  </si>
  <si>
    <t>4650070136145</t>
  </si>
  <si>
    <t>4650070133359</t>
  </si>
  <si>
    <t>4650070138941</t>
  </si>
  <si>
    <t>4607112241541</t>
  </si>
  <si>
    <t>4607112241596</t>
  </si>
  <si>
    <t>4607112247604</t>
  </si>
  <si>
    <t>4607112247635</t>
  </si>
  <si>
    <t>4650070139740</t>
  </si>
  <si>
    <t>4650070139733</t>
  </si>
  <si>
    <t>4650070133083</t>
  </si>
  <si>
    <t>4607112246430</t>
  </si>
  <si>
    <t>4607112243705</t>
  </si>
  <si>
    <t>4650056203090</t>
  </si>
  <si>
    <t>4606016245617</t>
  </si>
  <si>
    <t>4606016245464</t>
  </si>
  <si>
    <t>4606016244740</t>
  </si>
  <si>
    <t>4606016168824</t>
  </si>
  <si>
    <t>4606016168671</t>
  </si>
  <si>
    <t>4606016245495</t>
  </si>
  <si>
    <t>4627160459910</t>
  </si>
  <si>
    <t>4627158610897</t>
  </si>
  <si>
    <t>4606016244771</t>
  </si>
  <si>
    <t>4606016245372</t>
  </si>
  <si>
    <t>4627149627033</t>
  </si>
  <si>
    <t>4620000202349</t>
  </si>
  <si>
    <t>4627090482347</t>
  </si>
  <si>
    <t>4627090482361</t>
  </si>
  <si>
    <t>4627166411882</t>
  </si>
  <si>
    <t>4627166411943</t>
  </si>
  <si>
    <t>4627149626777</t>
  </si>
  <si>
    <t>4627149626791</t>
  </si>
  <si>
    <t>4627149626814</t>
  </si>
  <si>
    <t>4627149626838</t>
  </si>
  <si>
    <t>4620000202424</t>
  </si>
  <si>
    <t>4620000202417</t>
  </si>
  <si>
    <t>4627090482446</t>
  </si>
  <si>
    <t>4627090482453</t>
  </si>
  <si>
    <t>4620000202462</t>
  </si>
  <si>
    <t>4620000203285</t>
  </si>
  <si>
    <t>4620000202486</t>
  </si>
  <si>
    <t>4607031181461</t>
  </si>
  <si>
    <t>4627090484266</t>
  </si>
  <si>
    <t>4630040834400</t>
  </si>
  <si>
    <t>4630040834288</t>
  </si>
  <si>
    <t>4630040835018</t>
  </si>
  <si>
    <t>4630040835414</t>
  </si>
  <si>
    <t>4630040834691</t>
  </si>
  <si>
    <t>4630040834851</t>
  </si>
  <si>
    <t>4627149626616</t>
  </si>
  <si>
    <t>4627149626654</t>
  </si>
  <si>
    <t>4620000200956</t>
  </si>
  <si>
    <t>4620000200802</t>
  </si>
  <si>
    <t>4620000204503</t>
  </si>
  <si>
    <t>4620000203469</t>
  </si>
  <si>
    <t>4630040833298</t>
  </si>
  <si>
    <t>4630040833090</t>
  </si>
  <si>
    <t>4630040833175</t>
  </si>
  <si>
    <t>4690358253294</t>
  </si>
  <si>
    <t>4690358201639</t>
  </si>
  <si>
    <t>4690358201578</t>
  </si>
  <si>
    <t>4690358201615</t>
  </si>
  <si>
    <t>4690358207334</t>
  </si>
  <si>
    <t>4690358200915</t>
  </si>
  <si>
    <t>4690358253454</t>
  </si>
  <si>
    <t>4690358186288</t>
  </si>
  <si>
    <t>4690358016660</t>
  </si>
  <si>
    <t>4627155784270</t>
  </si>
  <si>
    <t>4627155784614</t>
  </si>
  <si>
    <t>4630040833311</t>
  </si>
  <si>
    <t>4630040833496</t>
  </si>
  <si>
    <t>4630040833113</t>
  </si>
  <si>
    <t>4630040833199</t>
  </si>
  <si>
    <t>4627155784232</t>
  </si>
  <si>
    <t>4627135529020</t>
  </si>
  <si>
    <t>4627155784379</t>
  </si>
  <si>
    <t>4627155784393</t>
  </si>
  <si>
    <t>4627155784591</t>
  </si>
  <si>
    <t>4680211053093</t>
  </si>
  <si>
    <t>4680211053130</t>
  </si>
  <si>
    <t>4680211227609</t>
  </si>
  <si>
    <t>4610008526646</t>
  </si>
  <si>
    <t>4690358028410</t>
  </si>
  <si>
    <t>4690358028427</t>
  </si>
  <si>
    <t>4690358058769</t>
  </si>
  <si>
    <t>4607139596464</t>
  </si>
  <si>
    <t>4690358036309</t>
  </si>
  <si>
    <t>4690358047770</t>
  </si>
  <si>
    <t>4690358047763</t>
  </si>
  <si>
    <t>4690358069567</t>
  </si>
  <si>
    <t>4690358069406</t>
  </si>
  <si>
    <t>4690358199486</t>
  </si>
  <si>
    <t>3652456987236</t>
  </si>
  <si>
    <t>4630040832635</t>
  </si>
  <si>
    <t>4630040832512</t>
  </si>
  <si>
    <t>4630040832574</t>
  </si>
  <si>
    <t>4627166411820</t>
  </si>
  <si>
    <t>4620000200079</t>
  </si>
  <si>
    <t>4620000200086</t>
  </si>
  <si>
    <t>4612749536601</t>
  </si>
  <si>
    <t>4627090482491</t>
  </si>
  <si>
    <t>4627090482507</t>
  </si>
  <si>
    <t>4627090482514</t>
  </si>
  <si>
    <t>4620000202066</t>
  </si>
  <si>
    <t>4630040833779</t>
  </si>
  <si>
    <t>4630040833755</t>
  </si>
  <si>
    <t>4630040834103</t>
  </si>
  <si>
    <t>4627090482545</t>
  </si>
  <si>
    <t>4620000203322</t>
  </si>
  <si>
    <t>4620000200932</t>
  </si>
  <si>
    <t>4620000204602</t>
  </si>
  <si>
    <t>4620000202523</t>
  </si>
  <si>
    <t>4620000200338</t>
  </si>
  <si>
    <t>4627155788902</t>
  </si>
  <si>
    <t>4630040834219</t>
  </si>
  <si>
    <t>4612749551734</t>
  </si>
  <si>
    <t>4650100126191</t>
  </si>
  <si>
    <t>4630040833939</t>
  </si>
  <si>
    <t>4630040834554</t>
  </si>
  <si>
    <t>4630040834639</t>
  </si>
  <si>
    <t>4630040834516</t>
  </si>
  <si>
    <t>4630040834592</t>
  </si>
  <si>
    <t>4630073354746</t>
  </si>
  <si>
    <t>4630073351424</t>
  </si>
  <si>
    <t>4630074624480</t>
  </si>
  <si>
    <t>4630040834677</t>
  </si>
  <si>
    <t>4630040834752</t>
  </si>
  <si>
    <t>4630040834790</t>
  </si>
  <si>
    <t>4630040834714</t>
  </si>
  <si>
    <t>4630040834424</t>
  </si>
  <si>
    <t>4627166412087</t>
  </si>
  <si>
    <t>4627166412148</t>
  </si>
  <si>
    <t>4627149627132</t>
  </si>
  <si>
    <t>4627149627170</t>
  </si>
  <si>
    <t>4627149627194</t>
  </si>
  <si>
    <t>4627149627231</t>
  </si>
  <si>
    <t>4627160455035</t>
  </si>
  <si>
    <t>4627160157459</t>
  </si>
  <si>
    <t>4627158612082</t>
  </si>
  <si>
    <t>4627166410823</t>
  </si>
  <si>
    <t>4627160457558</t>
  </si>
  <si>
    <t>4627166410861</t>
  </si>
  <si>
    <t>4627160455219</t>
  </si>
  <si>
    <t>4627160457633</t>
  </si>
  <si>
    <t>4627160455196</t>
  </si>
  <si>
    <t>4627166410922</t>
  </si>
  <si>
    <t>4627160457695</t>
  </si>
  <si>
    <t>4627166411004</t>
  </si>
  <si>
    <t>4627169208823</t>
  </si>
  <si>
    <t>4627166410700</t>
  </si>
  <si>
    <t>4627166410809</t>
  </si>
  <si>
    <t>4627160457497</t>
  </si>
  <si>
    <t>4627160457510</t>
  </si>
  <si>
    <t>4627169209783</t>
  </si>
  <si>
    <t>4627160455332</t>
  </si>
  <si>
    <t>4627160457756</t>
  </si>
  <si>
    <t>4627169208861</t>
  </si>
  <si>
    <t>4627166410885</t>
  </si>
  <si>
    <t>4627166410946</t>
  </si>
  <si>
    <t>4630074623766</t>
  </si>
  <si>
    <t>4630040834998</t>
  </si>
  <si>
    <t>4630040834196</t>
  </si>
  <si>
    <t>4630040835070</t>
  </si>
  <si>
    <t>4612749550898</t>
  </si>
  <si>
    <t>4607165267475</t>
  </si>
  <si>
    <t>4630074620024</t>
  </si>
  <si>
    <t>4627166412162</t>
  </si>
  <si>
    <t>4627166412209</t>
  </si>
  <si>
    <t>4627149627255</t>
  </si>
  <si>
    <t>4812225000040</t>
  </si>
  <si>
    <t>4606368000056</t>
  </si>
  <si>
    <t>4606368000070</t>
  </si>
  <si>
    <t>4606368000032</t>
  </si>
  <si>
    <t>4680211140755</t>
  </si>
  <si>
    <t>4627090481593</t>
  </si>
  <si>
    <t>4670028115213</t>
  </si>
  <si>
    <t>4670028115206</t>
  </si>
  <si>
    <t>4607031189412</t>
  </si>
  <si>
    <t>5903069005410</t>
  </si>
  <si>
    <t>4627140007384</t>
  </si>
  <si>
    <t>4627160454052</t>
  </si>
  <si>
    <t>4610008526745</t>
  </si>
  <si>
    <t>4630040836336</t>
  </si>
  <si>
    <t>4630040836329</t>
  </si>
  <si>
    <t>4630040836374</t>
  </si>
  <si>
    <t>4630040836169</t>
  </si>
  <si>
    <t>4640020936185</t>
  </si>
  <si>
    <t>9786504090350</t>
  </si>
  <si>
    <t>4602827761711</t>
  </si>
  <si>
    <t>4627102055682</t>
  </si>
  <si>
    <t>4015171133750</t>
  </si>
  <si>
    <t>4005546665122</t>
  </si>
  <si>
    <t>4718805800270</t>
  </si>
  <si>
    <t>4718805012406</t>
  </si>
  <si>
    <t>4718805012109</t>
  </si>
  <si>
    <t>4718805012314</t>
  </si>
  <si>
    <t>4718805016015</t>
  </si>
  <si>
    <t>4718805800485</t>
  </si>
  <si>
    <t>4718805802144</t>
  </si>
  <si>
    <t>4718805016619</t>
  </si>
  <si>
    <t>4718805016107</t>
  </si>
  <si>
    <t>4718805016343</t>
  </si>
  <si>
    <t>4718805016336</t>
  </si>
  <si>
    <t>4718805016305</t>
  </si>
  <si>
    <t>4718805019306</t>
  </si>
  <si>
    <t>4718805021415</t>
  </si>
  <si>
    <t>4718805021101</t>
  </si>
  <si>
    <t>4718805021316</t>
  </si>
  <si>
    <t>4718805026335</t>
  </si>
  <si>
    <t>4718805016503</t>
  </si>
  <si>
    <t>4718805035115</t>
  </si>
  <si>
    <t>4718805035313</t>
  </si>
  <si>
    <t>4718805502426</t>
  </si>
  <si>
    <t>4718805502419</t>
  </si>
  <si>
    <t>4718805069356</t>
  </si>
  <si>
    <t>8901015515003</t>
  </si>
  <si>
    <t>8901015632052</t>
  </si>
  <si>
    <t>8901015299019</t>
  </si>
  <si>
    <t>8901015602017</t>
  </si>
  <si>
    <t>8901015629007</t>
  </si>
  <si>
    <t>8901015627003</t>
  </si>
  <si>
    <t>8901015637002</t>
  </si>
  <si>
    <t>8901015000011</t>
  </si>
  <si>
    <t>4627109702398</t>
  </si>
  <si>
    <t>4627160459453</t>
  </si>
  <si>
    <t>4627169207024</t>
  </si>
  <si>
    <t>4627169207062</t>
  </si>
  <si>
    <t>4041485452072</t>
  </si>
  <si>
    <t>4041485390169</t>
  </si>
  <si>
    <t>4041485178101</t>
  </si>
  <si>
    <t>4041485403180</t>
  </si>
  <si>
    <t>4627160459132</t>
  </si>
  <si>
    <t>4627135528283</t>
  </si>
  <si>
    <t>4606016347588</t>
  </si>
  <si>
    <t>4606016347472</t>
  </si>
  <si>
    <t>4606016347434</t>
  </si>
  <si>
    <t>4260107455875</t>
  </si>
  <si>
    <t>4260107479864</t>
  </si>
  <si>
    <t>4606016348400</t>
  </si>
  <si>
    <t>4606016358829</t>
  </si>
  <si>
    <t>4606016285095</t>
  </si>
  <si>
    <t>4606016359260</t>
  </si>
  <si>
    <t>4606016359307</t>
  </si>
  <si>
    <t>4606016359383</t>
  </si>
  <si>
    <t>4606016361379</t>
  </si>
  <si>
    <t>4606016285170</t>
  </si>
  <si>
    <t>4606016262355</t>
  </si>
  <si>
    <t>4606016357761</t>
  </si>
  <si>
    <t>4606016292123</t>
  </si>
  <si>
    <t>4606016357846</t>
  </si>
  <si>
    <t>4606016357808</t>
  </si>
  <si>
    <t>4606016261075</t>
  </si>
  <si>
    <t>4606016261716</t>
  </si>
  <si>
    <t>4606016208735</t>
  </si>
  <si>
    <t>4606016457652</t>
  </si>
  <si>
    <t>4606016418936</t>
  </si>
  <si>
    <t>4606016261877</t>
  </si>
  <si>
    <t>4606016208773</t>
  </si>
  <si>
    <t>4606016261518</t>
  </si>
  <si>
    <t>4606016418929</t>
  </si>
  <si>
    <t>4606016261273</t>
  </si>
  <si>
    <t>4606016217171</t>
  </si>
  <si>
    <t>4606016349124</t>
  </si>
  <si>
    <t>4606016358522</t>
  </si>
  <si>
    <t>4606016348929</t>
  </si>
  <si>
    <t>4606016348608</t>
  </si>
  <si>
    <t>4606016348806</t>
  </si>
  <si>
    <t>4606016357402</t>
  </si>
  <si>
    <t>4606016258389</t>
  </si>
  <si>
    <t>4606016389397</t>
  </si>
  <si>
    <t>4041485452133</t>
  </si>
  <si>
    <t>4041485395317</t>
  </si>
  <si>
    <t>4041485325352</t>
  </si>
  <si>
    <t>4627149623523</t>
  </si>
  <si>
    <t>4627160457046</t>
  </si>
  <si>
    <t>4627158610057</t>
  </si>
  <si>
    <t>4627158610071</t>
  </si>
  <si>
    <t>4627160457008</t>
  </si>
  <si>
    <t>4627158610156</t>
  </si>
  <si>
    <t>4627158610194</t>
  </si>
  <si>
    <t>4627158610217</t>
  </si>
  <si>
    <t>4627140009623</t>
  </si>
  <si>
    <t>4627135528320</t>
  </si>
  <si>
    <t>4627160459255</t>
  </si>
  <si>
    <t>4627160459194</t>
  </si>
  <si>
    <t>4627169207147</t>
  </si>
  <si>
    <t>4627169207284</t>
  </si>
  <si>
    <t>4627169207246</t>
  </si>
  <si>
    <t>4627169207161</t>
  </si>
  <si>
    <t>4606016397729</t>
  </si>
  <si>
    <t>4606016398009</t>
  </si>
  <si>
    <t>4606016349445</t>
  </si>
  <si>
    <t>4606016349407</t>
  </si>
  <si>
    <t>4606016397644</t>
  </si>
  <si>
    <t>4606016397842</t>
  </si>
  <si>
    <t>4606016349520</t>
  </si>
  <si>
    <t>4606016349681</t>
  </si>
  <si>
    <t>4606016397804</t>
  </si>
  <si>
    <t>4606016153165</t>
  </si>
  <si>
    <t>4041485467694</t>
  </si>
  <si>
    <t>4041485467649</t>
  </si>
  <si>
    <t>4041485335689</t>
  </si>
  <si>
    <t>4680211140823</t>
  </si>
  <si>
    <t>8595013637517</t>
  </si>
  <si>
    <t>4627090483177</t>
  </si>
  <si>
    <t>4041485465263</t>
  </si>
  <si>
    <t>4627160453512</t>
  </si>
  <si>
    <t>4627160453536</t>
  </si>
  <si>
    <t>4606016396067</t>
  </si>
  <si>
    <t>4606016394124</t>
  </si>
  <si>
    <t>4606016394100</t>
  </si>
  <si>
    <t>4606016366893</t>
  </si>
  <si>
    <t>4606016395787</t>
  </si>
  <si>
    <t>4606016399495</t>
  </si>
  <si>
    <t>4041485437291</t>
  </si>
  <si>
    <t>4041485220329</t>
  </si>
  <si>
    <t>4041485370994</t>
  </si>
  <si>
    <t>4041485370949</t>
  </si>
  <si>
    <t>4823071623253</t>
  </si>
  <si>
    <t>4600999006968</t>
  </si>
  <si>
    <t>4041485071396</t>
  </si>
  <si>
    <t>4041485011910</t>
  </si>
  <si>
    <t>4260107468769</t>
  </si>
  <si>
    <t>4041485011897</t>
  </si>
  <si>
    <t>7630014901760</t>
  </si>
  <si>
    <t>4260107485582</t>
  </si>
  <si>
    <t>4041485248675</t>
  </si>
  <si>
    <t>4602078000959</t>
  </si>
  <si>
    <t>4602078001680</t>
  </si>
  <si>
    <t>4690219143764</t>
  </si>
  <si>
    <t>4690219143719</t>
  </si>
  <si>
    <t>4690219143078</t>
  </si>
  <si>
    <t>4015400869320</t>
  </si>
  <si>
    <t>4670004012338</t>
  </si>
  <si>
    <t>4041485021834</t>
  </si>
  <si>
    <t>4041485045496</t>
  </si>
  <si>
    <t>4627077809150</t>
  </si>
  <si>
    <t>4627160452799</t>
  </si>
  <si>
    <t>4620000632627</t>
  </si>
  <si>
    <t>8901015290177</t>
  </si>
  <si>
    <t>4627140006431</t>
  </si>
  <si>
    <t>4041485390077</t>
  </si>
  <si>
    <t>4627127736504</t>
  </si>
  <si>
    <t>8593539618560</t>
  </si>
  <si>
    <t>4260107484486</t>
  </si>
  <si>
    <t>4606016331822</t>
  </si>
  <si>
    <t>4041485469643</t>
  </si>
  <si>
    <t>4041485469667</t>
  </si>
  <si>
    <t>4041485469674</t>
  </si>
  <si>
    <t>8593539806790</t>
  </si>
  <si>
    <t>4680211233518</t>
  </si>
  <si>
    <t>4680211233440</t>
  </si>
  <si>
    <t>4680211233457</t>
  </si>
  <si>
    <t>4601921466560</t>
  </si>
  <si>
    <t>4601921475265</t>
  </si>
  <si>
    <t>4680211223267</t>
  </si>
  <si>
    <t>4680211145170</t>
  </si>
  <si>
    <t>4680211230180</t>
  </si>
  <si>
    <t>4680211116439</t>
  </si>
  <si>
    <t>4680211223625</t>
  </si>
  <si>
    <t>4680211223304</t>
  </si>
  <si>
    <t>4680211230142</t>
  </si>
  <si>
    <t>4680211223380</t>
  </si>
  <si>
    <t>4680211224103</t>
  </si>
  <si>
    <t>4680211223588</t>
  </si>
  <si>
    <t>4680211168407</t>
  </si>
  <si>
    <t>4680211223649</t>
  </si>
  <si>
    <t>4680211224226</t>
  </si>
  <si>
    <t>4680211224462</t>
  </si>
  <si>
    <t>4680211224547</t>
  </si>
  <si>
    <t>4606016331860</t>
  </si>
  <si>
    <t>4606016435735</t>
  </si>
  <si>
    <t>4606016161283</t>
  </si>
  <si>
    <t>4606016398931</t>
  </si>
  <si>
    <t>4606016202771</t>
  </si>
  <si>
    <t>4606016199880</t>
  </si>
  <si>
    <t>4606016401198</t>
  </si>
  <si>
    <t>4606016250383</t>
  </si>
  <si>
    <t>4606016199941</t>
  </si>
  <si>
    <t>4606016407268</t>
  </si>
  <si>
    <t>4606016407305</t>
  </si>
  <si>
    <t>4601921435887</t>
  </si>
  <si>
    <t>4601921435894</t>
  </si>
  <si>
    <t>4680211219383</t>
  </si>
  <si>
    <t>4680211219406</t>
  </si>
  <si>
    <t>4680211219444</t>
  </si>
  <si>
    <t>4680211219468</t>
  </si>
  <si>
    <t>4680211228118</t>
  </si>
  <si>
    <t>4680211219482</t>
  </si>
  <si>
    <t>4680211219529</t>
  </si>
  <si>
    <t>4680211228132</t>
  </si>
  <si>
    <t>4606016404656</t>
  </si>
  <si>
    <t>4606016404625</t>
  </si>
  <si>
    <t>4606016404472</t>
  </si>
  <si>
    <t>4606016404595</t>
  </si>
  <si>
    <t>4606016404533</t>
  </si>
  <si>
    <t>4606016404502</t>
  </si>
  <si>
    <t>4606016404410</t>
  </si>
  <si>
    <t>4606016404564</t>
  </si>
  <si>
    <t>4601921353846</t>
  </si>
  <si>
    <t>4680211224660</t>
  </si>
  <si>
    <t>4680211224806</t>
  </si>
  <si>
    <t>4680211219543</t>
  </si>
  <si>
    <t>4606016404441</t>
  </si>
  <si>
    <t>4606016404687</t>
  </si>
  <si>
    <t>4680211117030</t>
  </si>
  <si>
    <t>4680211246853</t>
  </si>
  <si>
    <t>4606016322042</t>
  </si>
  <si>
    <t>4606016322028</t>
  </si>
  <si>
    <t>4606016321984</t>
  </si>
  <si>
    <t>4606016117693</t>
  </si>
  <si>
    <t>4606016197398</t>
  </si>
  <si>
    <t>4601921468526</t>
  </si>
  <si>
    <t>4601921426885</t>
  </si>
  <si>
    <t>4601921468557</t>
  </si>
  <si>
    <t>4601921468540</t>
  </si>
  <si>
    <t>4606016407435</t>
  </si>
  <si>
    <t>4606016407473</t>
  </si>
  <si>
    <t>4601921466775</t>
  </si>
  <si>
    <t>4680211247218</t>
  </si>
  <si>
    <t>4680211190026</t>
  </si>
  <si>
    <t>4680211247232</t>
  </si>
  <si>
    <t>4680211247294</t>
  </si>
  <si>
    <t>4680211247256</t>
  </si>
  <si>
    <t>4680211247058</t>
  </si>
  <si>
    <t>4680211247171</t>
  </si>
  <si>
    <t>4680211247270</t>
  </si>
  <si>
    <t>4680211101787</t>
  </si>
  <si>
    <t>4680211230203</t>
  </si>
  <si>
    <t>4680211189723</t>
  </si>
  <si>
    <t>4680211216108</t>
  </si>
  <si>
    <t>4606016250475</t>
  </si>
  <si>
    <t>4606016162525</t>
  </si>
  <si>
    <t>4606016250505</t>
  </si>
  <si>
    <t>4606016156159</t>
  </si>
  <si>
    <t>4606016250536</t>
  </si>
  <si>
    <t>4606016166028</t>
  </si>
  <si>
    <t>4606016202832</t>
  </si>
  <si>
    <t>4606016202863</t>
  </si>
  <si>
    <t>4680211258276</t>
  </si>
  <si>
    <t>4680211200657</t>
  </si>
  <si>
    <t>4680211247812</t>
  </si>
  <si>
    <t>4680211247836</t>
  </si>
  <si>
    <t>4606016192867</t>
  </si>
  <si>
    <t>4601921482218</t>
  </si>
  <si>
    <t>4601921482225</t>
  </si>
  <si>
    <t>4627140008718</t>
  </si>
  <si>
    <t>4680211247935</t>
  </si>
  <si>
    <t>4680211247973</t>
  </si>
  <si>
    <t>4601921451948</t>
  </si>
  <si>
    <t>4601921459784</t>
  </si>
  <si>
    <t>4601921501636</t>
  </si>
  <si>
    <t>4680211101206</t>
  </si>
  <si>
    <t>4680211191047</t>
  </si>
  <si>
    <t>4680211101220</t>
  </si>
  <si>
    <t>4680211191023</t>
  </si>
  <si>
    <t>4606016250598</t>
  </si>
  <si>
    <t>4627140008954</t>
  </si>
  <si>
    <t>4627102054173</t>
  </si>
  <si>
    <t>4627140008831</t>
  </si>
  <si>
    <t>4606016154933</t>
  </si>
  <si>
    <t>4680211255749</t>
  </si>
  <si>
    <t>4680211255701</t>
  </si>
  <si>
    <t>4601921451757</t>
  </si>
  <si>
    <t>4680211183516</t>
  </si>
  <si>
    <t>4680211258320</t>
  </si>
  <si>
    <t>4680211258375</t>
  </si>
  <si>
    <t>4680211258313</t>
  </si>
  <si>
    <t>4680211258351</t>
  </si>
  <si>
    <t>4680211258290</t>
  </si>
  <si>
    <t>4606016441408</t>
  </si>
  <si>
    <t>4680211183646</t>
  </si>
  <si>
    <t>4601921501643</t>
  </si>
  <si>
    <t>4601921469370</t>
  </si>
  <si>
    <t>4601921469387</t>
  </si>
  <si>
    <t>4601921459678</t>
  </si>
  <si>
    <t>4680211130817</t>
  </si>
  <si>
    <t>4680211130831</t>
  </si>
  <si>
    <t>4680211130855</t>
  </si>
  <si>
    <t>8681241097565</t>
  </si>
  <si>
    <t>4627160453697</t>
  </si>
  <si>
    <t>4627140007995</t>
  </si>
  <si>
    <t>4627160453673</t>
  </si>
  <si>
    <t>4627149629792</t>
  </si>
  <si>
    <t>4627109704682</t>
  </si>
  <si>
    <t>4627113200330</t>
  </si>
  <si>
    <t>4627158611580</t>
  </si>
  <si>
    <t>4627160458760</t>
  </si>
  <si>
    <t>4627149620348</t>
  </si>
  <si>
    <t>4627160452850</t>
  </si>
  <si>
    <t>4627160452898</t>
  </si>
  <si>
    <t>4041485823032</t>
  </si>
  <si>
    <t>4620000632962</t>
  </si>
  <si>
    <t>4670004014028</t>
  </si>
  <si>
    <t>4650066300185</t>
  </si>
  <si>
    <t>4620000633020</t>
  </si>
  <si>
    <t>4650066300307</t>
  </si>
  <si>
    <t>4620000633037</t>
  </si>
  <si>
    <t>8593540108821</t>
  </si>
  <si>
    <t>4620000633044</t>
  </si>
  <si>
    <t>4601822000481</t>
  </si>
  <si>
    <t>4620000633099</t>
  </si>
  <si>
    <t>4620000634379</t>
  </si>
  <si>
    <t>4620000632818</t>
  </si>
  <si>
    <t>4650066301557</t>
  </si>
  <si>
    <t>4620000632849</t>
  </si>
  <si>
    <t>4650066301656</t>
  </si>
  <si>
    <t>4650066300994</t>
  </si>
  <si>
    <t>4620000632870</t>
  </si>
  <si>
    <t>8593540100375</t>
  </si>
  <si>
    <t>8593540100436</t>
  </si>
  <si>
    <t>4620000632801</t>
  </si>
  <si>
    <t>4601822000177</t>
  </si>
  <si>
    <t>4601822000146</t>
  </si>
  <si>
    <t>4601822003239</t>
  </si>
  <si>
    <t>4650066301472</t>
  </si>
  <si>
    <t>4620000639343</t>
  </si>
  <si>
    <t>4620000639336</t>
  </si>
  <si>
    <t>4620000638292</t>
  </si>
  <si>
    <t>4620000638285</t>
  </si>
  <si>
    <t>4620000638094</t>
  </si>
  <si>
    <t>4620000638087</t>
  </si>
  <si>
    <t>4620000637646</t>
  </si>
  <si>
    <t>4620000637639</t>
  </si>
  <si>
    <t>4620000638315</t>
  </si>
  <si>
    <t>4620000638308</t>
  </si>
  <si>
    <t>8593539319726</t>
  </si>
  <si>
    <t>4620000635284</t>
  </si>
  <si>
    <t>4627149625800</t>
  </si>
  <si>
    <t>4620000638568</t>
  </si>
  <si>
    <t>8593539097136</t>
  </si>
  <si>
    <t>8593539270492</t>
  </si>
  <si>
    <t>8593539270539</t>
  </si>
  <si>
    <t>4601921198713</t>
  </si>
  <si>
    <t>4601921453935</t>
  </si>
  <si>
    <t>4601921004151</t>
  </si>
  <si>
    <t>4601921046717</t>
  </si>
  <si>
    <t>4601921453966</t>
  </si>
  <si>
    <t>4680211241575</t>
  </si>
  <si>
    <t>4680211241599</t>
  </si>
  <si>
    <t>4680211241568</t>
  </si>
  <si>
    <t>4680211241582</t>
  </si>
  <si>
    <t>4627135524421</t>
  </si>
  <si>
    <t>4627093354474</t>
  </si>
  <si>
    <t>4627077801574</t>
  </si>
  <si>
    <t>4627160451655</t>
  </si>
  <si>
    <t>4627160451662</t>
  </si>
  <si>
    <t>4680211260019</t>
  </si>
  <si>
    <t>4680211259990</t>
  </si>
  <si>
    <t>4680211260040</t>
  </si>
  <si>
    <t>4680211260057</t>
  </si>
  <si>
    <t>4680211259976</t>
  </si>
  <si>
    <t>4680211260033</t>
  </si>
  <si>
    <t>4680211259730</t>
  </si>
  <si>
    <t>4680211259747</t>
  </si>
  <si>
    <t>4680211259785</t>
  </si>
  <si>
    <t>4680211259778</t>
  </si>
  <si>
    <t>4680211259853</t>
  </si>
  <si>
    <t>4680211259822</t>
  </si>
  <si>
    <t>4680211259808</t>
  </si>
  <si>
    <t>4680211259877</t>
  </si>
  <si>
    <t>4680211259792</t>
  </si>
  <si>
    <t>4680211259914</t>
  </si>
  <si>
    <t>4680211259921</t>
  </si>
  <si>
    <t>4680211259938</t>
  </si>
  <si>
    <t>4680211259624</t>
  </si>
  <si>
    <t>4680211259600</t>
  </si>
  <si>
    <t>4680211259648</t>
  </si>
  <si>
    <t>4680211259679</t>
  </si>
  <si>
    <t>4680211259655</t>
  </si>
  <si>
    <t>4640002652171</t>
  </si>
  <si>
    <t>4640002652034</t>
  </si>
  <si>
    <t>4640002652515</t>
  </si>
  <si>
    <t>4640002651594</t>
  </si>
  <si>
    <t>4640002651686</t>
  </si>
  <si>
    <t>4640002652065</t>
  </si>
  <si>
    <t>4640002652522</t>
  </si>
  <si>
    <t>4640002651655</t>
  </si>
  <si>
    <t>4640002651662</t>
  </si>
  <si>
    <t>4640002655257</t>
  </si>
  <si>
    <t>4640002655264</t>
  </si>
  <si>
    <t>4640002655271</t>
  </si>
  <si>
    <t>4640002652164</t>
  </si>
  <si>
    <t>4640002651631</t>
  </si>
  <si>
    <t>4640002652027</t>
  </si>
  <si>
    <t>4640002651648</t>
  </si>
  <si>
    <t>4640002652539</t>
  </si>
  <si>
    <t>4640002651617</t>
  </si>
  <si>
    <t>4640002651624</t>
  </si>
  <si>
    <t>4640002651761</t>
  </si>
  <si>
    <t>4640002652041</t>
  </si>
  <si>
    <t>4640002652546</t>
  </si>
  <si>
    <t>4640002651778</t>
  </si>
  <si>
    <t>4640002651785</t>
  </si>
  <si>
    <t>4627149627330</t>
  </si>
  <si>
    <t>8593540000590</t>
  </si>
  <si>
    <t>8593540000644</t>
  </si>
  <si>
    <t>3501179503752</t>
  </si>
  <si>
    <t>9000100453448</t>
  </si>
  <si>
    <t>8593540110282</t>
  </si>
  <si>
    <t>4627138510728</t>
  </si>
  <si>
    <t>4627138510742</t>
  </si>
  <si>
    <t>8593540100078</t>
  </si>
  <si>
    <t>4606782158951</t>
  </si>
  <si>
    <t>4627169206355</t>
  </si>
  <si>
    <t>4041485461425</t>
  </si>
  <si>
    <t>4627160458234</t>
  </si>
  <si>
    <t>4627160458197</t>
  </si>
  <si>
    <t>4627160458210</t>
  </si>
  <si>
    <t>6936886211152</t>
  </si>
  <si>
    <t>4627096741936</t>
  </si>
  <si>
    <t>7821606088321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</si>
</sst>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26"/>
      <color rgb="FFFF66CC"/>
      <name val="Bookman Old Style"/>
      <family val="1"/>
      <charset val="204"/>
    </font>
    <font>
      <b/>
      <i/>
      <sz val="12"/>
      <name val="Times New Roman"/>
      <family val="1"/>
      <charset val="204"/>
    </font>
    <font>
      <sz val="14"/>
      <name val="Arial Cyr"/>
      <charset val="204"/>
    </font>
    <font>
      <b/>
      <i/>
      <u/>
      <sz val="10"/>
      <name val="Arial"/>
      <family val="2"/>
      <charset val="204"/>
    </font>
    <font>
      <b/>
      <i/>
      <sz val="14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indexed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1" xfId="0" applyFont="1" applyBorder="1"/>
    <xf numFmtId="49" fontId="1" fillId="0" borderId="1" xfId="0" applyNumberFormat="1" applyFont="1" applyBorder="1"/>
    <xf numFmtId="0" fontId="3" fillId="0" borderId="0" xfId="0" applyFont="1"/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 shrinkToFi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Fill="1" applyAlignment="1">
      <alignment horizontal="center" vertical="top" wrapText="1"/>
    </xf>
    <xf numFmtId="0" fontId="2" fillId="0" borderId="0" xfId="1" applyFill="1" applyAlignment="1" applyProtection="1">
      <alignment horizontal="center"/>
    </xf>
    <xf numFmtId="0" fontId="9" fillId="0" borderId="0" xfId="0" applyFont="1"/>
    <xf numFmtId="49" fontId="9" fillId="0" borderId="0" xfId="0" applyNumberFormat="1" applyFont="1"/>
    <xf numFmtId="0" fontId="0" fillId="0" borderId="0" xfId="0" applyFont="1"/>
    <xf numFmtId="0" fontId="10" fillId="0" borderId="1" xfId="0" applyFont="1" applyBorder="1"/>
    <xf numFmtId="164" fontId="10" fillId="0" borderId="1" xfId="0" applyNumberFormat="1" applyFont="1" applyBorder="1"/>
    <xf numFmtId="0" fontId="11" fillId="0" borderId="1" xfId="1" applyFont="1" applyBorder="1" applyAlignment="1" applyProtection="1"/>
    <xf numFmtId="49" fontId="10" fillId="0" borderId="1" xfId="0" applyNumberFormat="1" applyFont="1" applyBorder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0</xdr:row>
      <xdr:rowOff>57150</xdr:rowOff>
    </xdr:from>
    <xdr:to>
      <xdr:col>1</xdr:col>
      <xdr:colOff>1098782</xdr:colOff>
      <xdr:row>6</xdr:row>
      <xdr:rowOff>190500</xdr:rowOff>
    </xdr:to>
    <xdr:pic>
      <xdr:nvPicPr>
        <xdr:cNvPr id="3" name="Picture 2" descr="Безымянный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49" y="57150"/>
          <a:ext cx="1232133" cy="1276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54801</xdr:colOff>
      <xdr:row>0</xdr:row>
      <xdr:rowOff>0</xdr:rowOff>
    </xdr:from>
    <xdr:to>
      <xdr:col>4</xdr:col>
      <xdr:colOff>762000</xdr:colOff>
      <xdr:row>7</xdr:row>
      <xdr:rowOff>190500</xdr:rowOff>
    </xdr:to>
    <xdr:pic>
      <xdr:nvPicPr>
        <xdr:cNvPr id="4" name="Picture 24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5576" y="0"/>
          <a:ext cx="1659699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lefant.b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97"/>
  <sheetViews>
    <sheetView tabSelected="1" workbookViewId="0">
      <pane xSplit="2" ySplit="10" topLeftCell="C2521" activePane="bottomRight" state="frozen"/>
      <selection pane="topRight" activeCell="C1" sqref="C1"/>
      <selection pane="bottomLeft" activeCell="A11" sqref="A11"/>
      <selection pane="bottomRight" activeCell="E2525" sqref="E2525"/>
    </sheetView>
  </sheetViews>
  <sheetFormatPr defaultRowHeight="15" x14ac:dyDescent="0.25"/>
  <cols>
    <col min="1" max="1" width="6.85546875" bestFit="1" customWidth="1"/>
    <col min="2" max="2" width="16.5703125" customWidth="1"/>
    <col min="3" max="3" width="69.5703125" customWidth="1"/>
    <col min="4" max="4" width="14.28515625" bestFit="1" customWidth="1"/>
    <col min="5" max="5" width="13.7109375" bestFit="1" customWidth="1"/>
    <col min="6" max="6" width="11.28515625" bestFit="1" customWidth="1"/>
    <col min="7" max="7" width="15.28515625" style="2" bestFit="1" customWidth="1"/>
    <col min="8" max="8" width="22.42578125" bestFit="1" customWidth="1"/>
  </cols>
  <sheetData>
    <row r="1" spans="1:15" x14ac:dyDescent="0.25">
      <c r="A1" s="5"/>
      <c r="B1" s="5"/>
      <c r="C1" s="21" t="s">
        <v>2885</v>
      </c>
      <c r="D1" s="6"/>
      <c r="E1" s="5"/>
      <c r="G1"/>
    </row>
    <row r="2" spans="1:15" x14ac:dyDescent="0.25">
      <c r="A2" s="5"/>
      <c r="B2" s="5"/>
      <c r="C2" s="22"/>
      <c r="D2" s="6"/>
      <c r="E2" s="5"/>
      <c r="G2"/>
    </row>
    <row r="3" spans="1:15" x14ac:dyDescent="0.25">
      <c r="A3" s="5"/>
      <c r="B3" s="5"/>
      <c r="C3" s="22"/>
      <c r="D3" s="6"/>
      <c r="E3" s="5"/>
      <c r="G3"/>
    </row>
    <row r="4" spans="1:15" x14ac:dyDescent="0.25">
      <c r="A4" s="5"/>
      <c r="B4" s="5"/>
      <c r="C4" s="22"/>
      <c r="D4" s="6"/>
      <c r="E4" s="5"/>
      <c r="G4"/>
    </row>
    <row r="5" spans="1:15" x14ac:dyDescent="0.25">
      <c r="A5" s="5"/>
      <c r="B5" s="5"/>
      <c r="C5" s="22"/>
      <c r="D5" s="6"/>
      <c r="E5" s="5"/>
      <c r="G5"/>
    </row>
    <row r="6" spans="1:15" x14ac:dyDescent="0.25">
      <c r="A6" s="5"/>
      <c r="B6" s="5"/>
      <c r="C6" s="22"/>
      <c r="D6" s="6"/>
      <c r="E6" s="5"/>
      <c r="G6"/>
    </row>
    <row r="7" spans="1:15" ht="15.75" x14ac:dyDescent="0.25">
      <c r="A7" s="5"/>
      <c r="B7" s="5"/>
      <c r="C7" s="7" t="s">
        <v>2886</v>
      </c>
      <c r="D7" s="7"/>
      <c r="E7" s="5"/>
      <c r="G7"/>
    </row>
    <row r="8" spans="1:15" ht="32.25" x14ac:dyDescent="0.3">
      <c r="A8" s="8"/>
      <c r="B8" s="9" t="s">
        <v>2887</v>
      </c>
      <c r="C8" s="10" t="s">
        <v>2888</v>
      </c>
      <c r="D8" s="11"/>
      <c r="E8" s="12"/>
      <c r="G8"/>
    </row>
    <row r="9" spans="1:15" x14ac:dyDescent="0.25">
      <c r="A9" s="5"/>
      <c r="B9" s="5"/>
      <c r="C9" s="13" t="s">
        <v>2889</v>
      </c>
      <c r="D9" s="6"/>
      <c r="E9" s="5"/>
      <c r="G9"/>
    </row>
    <row r="10" spans="1:15" s="16" customFormat="1" x14ac:dyDescent="0.2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" t="s">
        <v>6</v>
      </c>
      <c r="H10" s="3" t="s">
        <v>7</v>
      </c>
      <c r="I10" s="1"/>
      <c r="J10" s="1"/>
      <c r="K10" s="1"/>
      <c r="L10" s="1"/>
      <c r="M10" s="1"/>
      <c r="N10" s="1"/>
      <c r="O10" s="1"/>
    </row>
    <row r="11" spans="1:15" s="16" customFormat="1" x14ac:dyDescent="0.25">
      <c r="A11" s="17">
        <v>1</v>
      </c>
      <c r="B11" s="17" t="s">
        <v>12</v>
      </c>
      <c r="C11" s="17" t="s">
        <v>2892</v>
      </c>
      <c r="D11" s="18">
        <v>12</v>
      </c>
      <c r="E11" s="18">
        <v>0.68</v>
      </c>
      <c r="F11" s="18">
        <v>0.82</v>
      </c>
      <c r="G11" s="20" t="s">
        <v>4047</v>
      </c>
      <c r="H11" s="19" t="str">
        <f>HYPERLINK("https://elefant.by/catalogue/490044024","Посмотреть на сайте ...")</f>
        <v>Посмотреть на сайте ...</v>
      </c>
    </row>
    <row r="12" spans="1:15" s="16" customFormat="1" x14ac:dyDescent="0.25">
      <c r="A12" s="17">
        <v>2</v>
      </c>
      <c r="B12" s="17" t="s">
        <v>17</v>
      </c>
      <c r="C12" s="17" t="s">
        <v>18</v>
      </c>
      <c r="D12" s="18">
        <v>12</v>
      </c>
      <c r="E12" s="18">
        <v>1.86</v>
      </c>
      <c r="F12" s="18">
        <v>2.23</v>
      </c>
      <c r="G12" s="20" t="s">
        <v>19</v>
      </c>
      <c r="H12" s="19" t="str">
        <f>HYPERLINK("https://elefant.by/catalogue/551527094","Посмотреть на сайте ...")</f>
        <v>Посмотреть на сайте ...</v>
      </c>
    </row>
    <row r="13" spans="1:15" s="16" customFormat="1" x14ac:dyDescent="0.25">
      <c r="A13" s="17">
        <v>3</v>
      </c>
      <c r="B13" s="17" t="s">
        <v>21</v>
      </c>
      <c r="C13" s="17" t="s">
        <v>22</v>
      </c>
      <c r="D13" s="18">
        <v>10</v>
      </c>
      <c r="E13" s="18">
        <v>0.67</v>
      </c>
      <c r="F13" s="18">
        <v>0.8</v>
      </c>
      <c r="G13" s="20" t="s">
        <v>23</v>
      </c>
      <c r="H13" s="19" t="str">
        <f>HYPERLINK("https://elefant.by/catalogue/147114681","Посмотреть на сайте ...")</f>
        <v>Посмотреть на сайте ...</v>
      </c>
    </row>
    <row r="14" spans="1:15" s="16" customFormat="1" x14ac:dyDescent="0.25">
      <c r="A14" s="17">
        <v>4</v>
      </c>
      <c r="B14" s="17" t="s">
        <v>24</v>
      </c>
      <c r="C14" s="17" t="s">
        <v>2893</v>
      </c>
      <c r="D14" s="18">
        <v>24</v>
      </c>
      <c r="E14" s="18">
        <v>0.88</v>
      </c>
      <c r="F14" s="18">
        <v>1.06</v>
      </c>
      <c r="G14" s="20" t="s">
        <v>4048</v>
      </c>
      <c r="H14" s="19" t="str">
        <f>HYPERLINK("https://elefant.by/catalogue/162071706","Посмотреть на сайте ...")</f>
        <v>Посмотреть на сайте ...</v>
      </c>
    </row>
    <row r="15" spans="1:15" s="16" customFormat="1" x14ac:dyDescent="0.25">
      <c r="A15" s="17">
        <v>5</v>
      </c>
      <c r="B15" s="17" t="s">
        <v>24</v>
      </c>
      <c r="C15" s="17" t="s">
        <v>25</v>
      </c>
      <c r="D15" s="18">
        <v>10</v>
      </c>
      <c r="E15" s="18">
        <v>4.26</v>
      </c>
      <c r="F15" s="18">
        <v>5.1100000000000003</v>
      </c>
      <c r="G15" s="20" t="s">
        <v>26</v>
      </c>
      <c r="H15" s="19" t="str">
        <f>HYPERLINK("https://elefant.by/catalogue/175611378","Посмотреть на сайте ...")</f>
        <v>Посмотреть на сайте ...</v>
      </c>
    </row>
    <row r="16" spans="1:15" s="16" customFormat="1" x14ac:dyDescent="0.25">
      <c r="A16" s="17">
        <v>6</v>
      </c>
      <c r="B16" s="17" t="s">
        <v>2894</v>
      </c>
      <c r="C16" s="17" t="s">
        <v>31</v>
      </c>
      <c r="D16" s="18">
        <v>2</v>
      </c>
      <c r="E16" s="18">
        <v>0.74</v>
      </c>
      <c r="F16" s="18">
        <v>0.89</v>
      </c>
      <c r="G16" s="20" t="s">
        <v>32</v>
      </c>
      <c r="H16" s="19" t="str">
        <f>HYPERLINK("https://elefant.by/catalogue/196173715","Посмотреть на сайте ...")</f>
        <v>Посмотреть на сайте ...</v>
      </c>
    </row>
    <row r="17" spans="1:8" s="16" customFormat="1" x14ac:dyDescent="0.25">
      <c r="A17" s="17">
        <v>7</v>
      </c>
      <c r="B17" s="17" t="s">
        <v>2894</v>
      </c>
      <c r="C17" s="17" t="s">
        <v>29</v>
      </c>
      <c r="D17" s="18">
        <v>2</v>
      </c>
      <c r="E17" s="18">
        <v>0.74</v>
      </c>
      <c r="F17" s="18">
        <v>0.89</v>
      </c>
      <c r="G17" s="20" t="s">
        <v>30</v>
      </c>
      <c r="H17" s="19" t="str">
        <f>HYPERLINK("https://elefant.by/catalogue/196173718","Посмотреть на сайте ...")</f>
        <v>Посмотреть на сайте ...</v>
      </c>
    </row>
    <row r="18" spans="1:8" s="16" customFormat="1" x14ac:dyDescent="0.25">
      <c r="A18" s="17">
        <v>8</v>
      </c>
      <c r="B18" s="17" t="s">
        <v>2894</v>
      </c>
      <c r="C18" s="17" t="s">
        <v>35</v>
      </c>
      <c r="D18" s="18">
        <v>4</v>
      </c>
      <c r="E18" s="18">
        <v>0.55000000000000004</v>
      </c>
      <c r="F18" s="18">
        <v>0.66</v>
      </c>
      <c r="G18" s="20" t="s">
        <v>36</v>
      </c>
      <c r="H18" s="19" t="str">
        <f>HYPERLINK("https://elefant.by/catalogue/196173716","Посмотреть на сайте ...")</f>
        <v>Посмотреть на сайте ...</v>
      </c>
    </row>
    <row r="19" spans="1:8" s="16" customFormat="1" x14ac:dyDescent="0.25">
      <c r="A19" s="17">
        <v>9</v>
      </c>
      <c r="B19" s="17" t="s">
        <v>2894</v>
      </c>
      <c r="C19" s="17" t="s">
        <v>33</v>
      </c>
      <c r="D19" s="18">
        <v>4</v>
      </c>
      <c r="E19" s="18">
        <v>0.55000000000000004</v>
      </c>
      <c r="F19" s="18">
        <v>0.66</v>
      </c>
      <c r="G19" s="20" t="s">
        <v>34</v>
      </c>
      <c r="H19" s="19" t="str">
        <f>HYPERLINK("https://elefant.by/catalogue/196173717","Посмотреть на сайте ...")</f>
        <v>Посмотреть на сайте ...</v>
      </c>
    </row>
    <row r="20" spans="1:8" s="16" customFormat="1" x14ac:dyDescent="0.25">
      <c r="A20" s="17">
        <v>10</v>
      </c>
      <c r="B20" s="17" t="s">
        <v>2894</v>
      </c>
      <c r="C20" s="17" t="s">
        <v>37</v>
      </c>
      <c r="D20" s="18">
        <v>1</v>
      </c>
      <c r="E20" s="18">
        <v>3.91</v>
      </c>
      <c r="F20" s="18">
        <v>4.6900000000000004</v>
      </c>
      <c r="G20" s="20" t="s">
        <v>38</v>
      </c>
      <c r="H20" s="19" t="str">
        <f>HYPERLINK("https://elefant.by/catalogue/293536357","Посмотреть на сайте ...")</f>
        <v>Посмотреть на сайте ...</v>
      </c>
    </row>
    <row r="21" spans="1:8" s="16" customFormat="1" x14ac:dyDescent="0.25">
      <c r="A21" s="17">
        <v>11</v>
      </c>
      <c r="B21" s="17" t="s">
        <v>2894</v>
      </c>
      <c r="C21" s="17" t="s">
        <v>27</v>
      </c>
      <c r="D21" s="18">
        <v>10</v>
      </c>
      <c r="E21" s="18">
        <v>0.94</v>
      </c>
      <c r="F21" s="18">
        <v>1.1299999999999999</v>
      </c>
      <c r="G21" s="20" t="s">
        <v>28</v>
      </c>
      <c r="H21" s="19" t="str">
        <f>HYPERLINK("https://elefant.by/catalogue/196173719","Посмотреть на сайте ...")</f>
        <v>Посмотреть на сайте ...</v>
      </c>
    </row>
    <row r="22" spans="1:8" s="16" customFormat="1" x14ac:dyDescent="0.25">
      <c r="A22" s="17">
        <v>12</v>
      </c>
      <c r="B22" s="17" t="s">
        <v>2894</v>
      </c>
      <c r="C22" s="17" t="s">
        <v>2895</v>
      </c>
      <c r="D22" s="18">
        <v>2</v>
      </c>
      <c r="E22" s="18">
        <v>1.81</v>
      </c>
      <c r="F22" s="18">
        <v>2.17</v>
      </c>
      <c r="G22" s="20" t="s">
        <v>4049</v>
      </c>
      <c r="H22" s="19" t="str">
        <f>HYPERLINK("https://elefant.by/catalogue/698487029","Посмотреть на сайте ...")</f>
        <v>Посмотреть на сайте ...</v>
      </c>
    </row>
    <row r="23" spans="1:8" s="16" customFormat="1" x14ac:dyDescent="0.25">
      <c r="A23" s="17">
        <v>13</v>
      </c>
      <c r="B23" s="17" t="s">
        <v>2894</v>
      </c>
      <c r="C23" s="17" t="s">
        <v>2896</v>
      </c>
      <c r="D23" s="18">
        <v>2</v>
      </c>
      <c r="E23" s="18">
        <v>1.81</v>
      </c>
      <c r="F23" s="18">
        <v>2.17</v>
      </c>
      <c r="G23" s="20" t="s">
        <v>4050</v>
      </c>
      <c r="H23" s="19" t="str">
        <f>HYPERLINK("https://elefant.by/catalogue/698487027","Посмотреть на сайте ...")</f>
        <v>Посмотреть на сайте ...</v>
      </c>
    </row>
    <row r="24" spans="1:8" s="16" customFormat="1" x14ac:dyDescent="0.25">
      <c r="A24" s="17">
        <v>14</v>
      </c>
      <c r="B24" s="17" t="s">
        <v>2894</v>
      </c>
      <c r="C24" s="17" t="s">
        <v>39</v>
      </c>
      <c r="D24" s="18">
        <v>1</v>
      </c>
      <c r="E24" s="18">
        <v>0.56999999999999995</v>
      </c>
      <c r="F24" s="18">
        <v>0.68</v>
      </c>
      <c r="G24" s="20" t="s">
        <v>40</v>
      </c>
      <c r="H24" s="19" t="str">
        <f>HYPERLINK("https://elefant.by/catalogue/324884207","Посмотреть на сайте ...")</f>
        <v>Посмотреть на сайте ...</v>
      </c>
    </row>
    <row r="25" spans="1:8" s="16" customFormat="1" x14ac:dyDescent="0.25">
      <c r="A25" s="17">
        <v>15</v>
      </c>
      <c r="B25" s="17" t="s">
        <v>2894</v>
      </c>
      <c r="C25" s="17" t="s">
        <v>41</v>
      </c>
      <c r="D25" s="18">
        <v>1</v>
      </c>
      <c r="E25" s="18">
        <v>0.56999999999999995</v>
      </c>
      <c r="F25" s="18">
        <v>0.68</v>
      </c>
      <c r="G25" s="20" t="s">
        <v>42</v>
      </c>
      <c r="H25" s="19" t="str">
        <f>HYPERLINK("https://elefant.by/catalogue/324884206","Посмотреть на сайте ...")</f>
        <v>Посмотреть на сайте ...</v>
      </c>
    </row>
    <row r="26" spans="1:8" s="16" customFormat="1" x14ac:dyDescent="0.25">
      <c r="A26" s="17">
        <v>16</v>
      </c>
      <c r="B26" s="17" t="s">
        <v>11</v>
      </c>
      <c r="C26" s="17" t="s">
        <v>2897</v>
      </c>
      <c r="D26" s="18">
        <v>10</v>
      </c>
      <c r="E26" s="18">
        <v>5.51</v>
      </c>
      <c r="F26" s="18">
        <v>6.61</v>
      </c>
      <c r="G26" s="20" t="s">
        <v>4051</v>
      </c>
      <c r="H26" s="19" t="str">
        <f>HYPERLINK("https://elefant.by/catalogue/461072795","Посмотреть на сайте ...")</f>
        <v>Посмотреть на сайте ...</v>
      </c>
    </row>
    <row r="27" spans="1:8" s="16" customFormat="1" x14ac:dyDescent="0.25">
      <c r="A27" s="17">
        <v>17</v>
      </c>
      <c r="B27" s="17" t="s">
        <v>11</v>
      </c>
      <c r="C27" s="17" t="s">
        <v>53</v>
      </c>
      <c r="D27" s="18">
        <v>10</v>
      </c>
      <c r="E27" s="18">
        <v>5.51</v>
      </c>
      <c r="F27" s="18">
        <v>6.61</v>
      </c>
      <c r="G27" s="20" t="s">
        <v>54</v>
      </c>
      <c r="H27" s="19" t="str">
        <f>HYPERLINK("https://elefant.by/catalogue/473115923","Посмотреть на сайте ...")</f>
        <v>Посмотреть на сайте ...</v>
      </c>
    </row>
    <row r="28" spans="1:8" s="16" customFormat="1" x14ac:dyDescent="0.25">
      <c r="A28" s="17">
        <v>18</v>
      </c>
      <c r="B28" s="17" t="s">
        <v>11</v>
      </c>
      <c r="C28" s="17" t="s">
        <v>55</v>
      </c>
      <c r="D28" s="18">
        <v>10</v>
      </c>
      <c r="E28" s="18">
        <v>5.51</v>
      </c>
      <c r="F28" s="18">
        <v>6.61</v>
      </c>
      <c r="G28" s="20" t="s">
        <v>56</v>
      </c>
      <c r="H28" s="19" t="str">
        <f>HYPERLINK("https://elefant.by/catalogue/465433823","Посмотреть на сайте ...")</f>
        <v>Посмотреть на сайте ...</v>
      </c>
    </row>
    <row r="29" spans="1:8" s="16" customFormat="1" x14ac:dyDescent="0.25">
      <c r="A29" s="17">
        <v>19</v>
      </c>
      <c r="B29" s="17" t="s">
        <v>11</v>
      </c>
      <c r="C29" s="17" t="s">
        <v>43</v>
      </c>
      <c r="D29" s="18">
        <v>1</v>
      </c>
      <c r="E29" s="18">
        <v>15.17</v>
      </c>
      <c r="F29" s="18">
        <v>18.2</v>
      </c>
      <c r="G29" s="20" t="s">
        <v>44</v>
      </c>
      <c r="H29" s="19" t="str">
        <f>HYPERLINK("https://elefant.by/catalogue/456267197","Посмотреть на сайте ...")</f>
        <v>Посмотреть на сайте ...</v>
      </c>
    </row>
    <row r="30" spans="1:8" s="16" customFormat="1" x14ac:dyDescent="0.25">
      <c r="A30" s="17">
        <v>20</v>
      </c>
      <c r="B30" s="17" t="s">
        <v>11</v>
      </c>
      <c r="C30" s="17" t="s">
        <v>45</v>
      </c>
      <c r="D30" s="18">
        <v>1</v>
      </c>
      <c r="E30" s="18">
        <v>15.17</v>
      </c>
      <c r="F30" s="18">
        <v>18.2</v>
      </c>
      <c r="G30" s="20" t="s">
        <v>46</v>
      </c>
      <c r="H30" s="19" t="str">
        <f>HYPERLINK("https://elefant.by/catalogue/461072794","Посмотреть на сайте ...")</f>
        <v>Посмотреть на сайте ...</v>
      </c>
    </row>
    <row r="31" spans="1:8" s="16" customFormat="1" x14ac:dyDescent="0.25">
      <c r="A31" s="17">
        <v>21</v>
      </c>
      <c r="B31" s="17" t="s">
        <v>11</v>
      </c>
      <c r="C31" s="17" t="s">
        <v>47</v>
      </c>
      <c r="D31" s="18">
        <v>1</v>
      </c>
      <c r="E31" s="18">
        <v>15.17</v>
      </c>
      <c r="F31" s="18">
        <v>18.2</v>
      </c>
      <c r="G31" s="20" t="s">
        <v>48</v>
      </c>
      <c r="H31" s="19" t="str">
        <f>HYPERLINK("https://elefant.by/catalogue/453986689","Посмотреть на сайте ...")</f>
        <v>Посмотреть на сайте ...</v>
      </c>
    </row>
    <row r="32" spans="1:8" s="16" customFormat="1" x14ac:dyDescent="0.25">
      <c r="A32" s="17">
        <v>22</v>
      </c>
      <c r="B32" s="17" t="s">
        <v>11</v>
      </c>
      <c r="C32" s="17" t="s">
        <v>49</v>
      </c>
      <c r="D32" s="18">
        <v>10</v>
      </c>
      <c r="E32" s="18">
        <v>15.17</v>
      </c>
      <c r="F32" s="18">
        <v>18.2</v>
      </c>
      <c r="G32" s="20" t="s">
        <v>50</v>
      </c>
      <c r="H32" s="19" t="str">
        <f>HYPERLINK("https://elefant.by/catalogue/456267198","Посмотреть на сайте ...")</f>
        <v>Посмотреть на сайте ...</v>
      </c>
    </row>
    <row r="33" spans="1:8" s="16" customFormat="1" x14ac:dyDescent="0.25">
      <c r="A33" s="17">
        <v>23</v>
      </c>
      <c r="B33" s="17" t="s">
        <v>11</v>
      </c>
      <c r="C33" s="17" t="s">
        <v>51</v>
      </c>
      <c r="D33" s="18">
        <v>1</v>
      </c>
      <c r="E33" s="18">
        <v>15.17</v>
      </c>
      <c r="F33" s="18">
        <v>18.2</v>
      </c>
      <c r="G33" s="20" t="s">
        <v>52</v>
      </c>
      <c r="H33" s="19" t="str">
        <f>HYPERLINK("https://elefant.by/catalogue/461072793","Посмотреть на сайте ...")</f>
        <v>Посмотреть на сайте ...</v>
      </c>
    </row>
    <row r="34" spans="1:8" s="16" customFormat="1" x14ac:dyDescent="0.25">
      <c r="A34" s="17">
        <v>24</v>
      </c>
      <c r="B34" s="17" t="s">
        <v>11</v>
      </c>
      <c r="C34" s="17" t="s">
        <v>57</v>
      </c>
      <c r="D34" s="18">
        <v>10</v>
      </c>
      <c r="E34" s="18">
        <v>5.51</v>
      </c>
      <c r="F34" s="18">
        <v>6.61</v>
      </c>
      <c r="G34" s="20" t="s">
        <v>58</v>
      </c>
      <c r="H34" s="19" t="str">
        <f>HYPERLINK("https://elefant.by/catalogue/456267199","Посмотреть на сайте ...")</f>
        <v>Посмотреть на сайте ...</v>
      </c>
    </row>
    <row r="35" spans="1:8" s="16" customFormat="1" x14ac:dyDescent="0.25">
      <c r="A35" s="17">
        <v>25</v>
      </c>
      <c r="B35" s="17" t="s">
        <v>11</v>
      </c>
      <c r="C35" s="17" t="s">
        <v>59</v>
      </c>
      <c r="D35" s="18">
        <v>1</v>
      </c>
      <c r="E35" s="18">
        <v>5.51</v>
      </c>
      <c r="F35" s="18">
        <v>6.61</v>
      </c>
      <c r="G35" s="20" t="s">
        <v>60</v>
      </c>
      <c r="H35" s="19" t="str">
        <f>HYPERLINK("https://elefant.by/catalogue/463513788","Посмотреть на сайте ...")</f>
        <v>Посмотреть на сайте ...</v>
      </c>
    </row>
    <row r="36" spans="1:8" s="16" customFormat="1" x14ac:dyDescent="0.25">
      <c r="A36" s="17">
        <v>26</v>
      </c>
      <c r="B36" s="17" t="s">
        <v>11</v>
      </c>
      <c r="C36" s="17" t="s">
        <v>61</v>
      </c>
      <c r="D36" s="18">
        <v>1</v>
      </c>
      <c r="E36" s="18">
        <v>5.51</v>
      </c>
      <c r="F36" s="18">
        <v>6.61</v>
      </c>
      <c r="G36" s="20" t="s">
        <v>62</v>
      </c>
      <c r="H36" s="19" t="str">
        <f>HYPERLINK("https://elefant.by/catalogue/453986690","Посмотреть на сайте ...")</f>
        <v>Посмотреть на сайте ...</v>
      </c>
    </row>
    <row r="37" spans="1:8" s="16" customFormat="1" x14ac:dyDescent="0.25">
      <c r="A37" s="17">
        <v>27</v>
      </c>
      <c r="B37" s="17" t="s">
        <v>63</v>
      </c>
      <c r="C37" s="17" t="s">
        <v>64</v>
      </c>
      <c r="D37" s="18">
        <v>50</v>
      </c>
      <c r="E37" s="18">
        <v>0.16</v>
      </c>
      <c r="F37" s="18">
        <v>0.19</v>
      </c>
      <c r="G37" s="20" t="s">
        <v>65</v>
      </c>
      <c r="H37" s="19" t="str">
        <f>HYPERLINK("https://elefant.by/catalogue/490044025","Посмотреть на сайте ...")</f>
        <v>Посмотреть на сайте ...</v>
      </c>
    </row>
    <row r="38" spans="1:8" s="16" customFormat="1" x14ac:dyDescent="0.25">
      <c r="A38" s="17">
        <v>28</v>
      </c>
      <c r="B38" s="17" t="s">
        <v>63</v>
      </c>
      <c r="C38" s="17" t="s">
        <v>2898</v>
      </c>
      <c r="D38" s="18">
        <v>24</v>
      </c>
      <c r="E38" s="18">
        <v>1.18</v>
      </c>
      <c r="F38" s="18">
        <v>1.42</v>
      </c>
      <c r="G38" s="20" t="s">
        <v>4052</v>
      </c>
      <c r="H38" s="19" t="str">
        <f>HYPERLINK("https://elefant.by/catalogue/689566626","Посмотреть на сайте ...")</f>
        <v>Посмотреть на сайте ...</v>
      </c>
    </row>
    <row r="39" spans="1:8" s="16" customFormat="1" x14ac:dyDescent="0.25">
      <c r="A39" s="17">
        <v>29</v>
      </c>
      <c r="B39" s="17" t="s">
        <v>66</v>
      </c>
      <c r="C39" s="17" t="s">
        <v>2899</v>
      </c>
      <c r="D39" s="18">
        <v>15</v>
      </c>
      <c r="E39" s="18">
        <v>1.54</v>
      </c>
      <c r="F39" s="18">
        <v>1.85</v>
      </c>
      <c r="G39" s="20" t="s">
        <v>4053</v>
      </c>
      <c r="H39" s="19" t="str">
        <f>HYPERLINK("https://elefant.by/catalogue/149243331","Посмотреть на сайте ...")</f>
        <v>Посмотреть на сайте ...</v>
      </c>
    </row>
    <row r="40" spans="1:8" s="16" customFormat="1" x14ac:dyDescent="0.25">
      <c r="A40" s="17">
        <v>30</v>
      </c>
      <c r="B40" s="17" t="s">
        <v>63</v>
      </c>
      <c r="C40" s="17" t="s">
        <v>2900</v>
      </c>
      <c r="D40" s="18">
        <v>24</v>
      </c>
      <c r="E40" s="18">
        <v>2.19</v>
      </c>
      <c r="F40" s="18">
        <v>2.63</v>
      </c>
      <c r="G40" s="20" t="s">
        <v>4054</v>
      </c>
      <c r="H40" s="19" t="str">
        <f>HYPERLINK("https://elefant.by/catalogue/688553443","Посмотреть на сайте ...")</f>
        <v>Посмотреть на сайте ...</v>
      </c>
    </row>
    <row r="41" spans="1:8" s="16" customFormat="1" x14ac:dyDescent="0.25">
      <c r="A41" s="17">
        <v>31</v>
      </c>
      <c r="B41" s="17" t="s">
        <v>63</v>
      </c>
      <c r="C41" s="17" t="s">
        <v>2901</v>
      </c>
      <c r="D41" s="18">
        <v>24</v>
      </c>
      <c r="E41" s="18">
        <v>2.16</v>
      </c>
      <c r="F41" s="18">
        <v>2.59</v>
      </c>
      <c r="G41" s="20" t="s">
        <v>4055</v>
      </c>
      <c r="H41" s="19" t="str">
        <f>HYPERLINK("https://elefant.by/catalogue/688553445","Посмотреть на сайте ...")</f>
        <v>Посмотреть на сайте ...</v>
      </c>
    </row>
    <row r="42" spans="1:8" s="16" customFormat="1" x14ac:dyDescent="0.25">
      <c r="A42" s="17">
        <v>32</v>
      </c>
      <c r="B42" s="17" t="s">
        <v>66</v>
      </c>
      <c r="C42" s="17" t="s">
        <v>67</v>
      </c>
      <c r="D42" s="18">
        <v>12</v>
      </c>
      <c r="E42" s="18">
        <v>3.03</v>
      </c>
      <c r="F42" s="18">
        <v>3.64</v>
      </c>
      <c r="G42" s="20" t="s">
        <v>68</v>
      </c>
      <c r="H42" s="19" t="str">
        <f>HYPERLINK("https://elefant.by/catalogue/149500840","Посмотреть на сайте ...")</f>
        <v>Посмотреть на сайте ...</v>
      </c>
    </row>
    <row r="43" spans="1:8" s="16" customFormat="1" x14ac:dyDescent="0.25">
      <c r="A43" s="17">
        <v>33</v>
      </c>
      <c r="B43" s="17" t="s">
        <v>66</v>
      </c>
      <c r="C43" s="17" t="s">
        <v>69</v>
      </c>
      <c r="D43" s="18">
        <v>12</v>
      </c>
      <c r="E43" s="18">
        <v>3.26</v>
      </c>
      <c r="F43" s="18">
        <v>3.91</v>
      </c>
      <c r="G43" s="20" t="s">
        <v>70</v>
      </c>
      <c r="H43" s="19" t="str">
        <f>HYPERLINK("https://elefant.by/catalogue/148585346","Посмотреть на сайте ...")</f>
        <v>Посмотреть на сайте ...</v>
      </c>
    </row>
    <row r="44" spans="1:8" s="16" customFormat="1" x14ac:dyDescent="0.25">
      <c r="A44" s="17">
        <v>34</v>
      </c>
      <c r="B44" s="17" t="s">
        <v>63</v>
      </c>
      <c r="C44" s="17" t="s">
        <v>71</v>
      </c>
      <c r="D44" s="18">
        <v>24</v>
      </c>
      <c r="E44" s="18">
        <v>0.73</v>
      </c>
      <c r="F44" s="18">
        <v>0.88</v>
      </c>
      <c r="G44" s="20" t="s">
        <v>72</v>
      </c>
      <c r="H44" s="19" t="str">
        <f>HYPERLINK("https://elefant.by/catalogue/576160832","Посмотреть на сайте ...")</f>
        <v>Посмотреть на сайте ...</v>
      </c>
    </row>
    <row r="45" spans="1:8" s="16" customFormat="1" x14ac:dyDescent="0.25">
      <c r="A45" s="17">
        <v>35</v>
      </c>
      <c r="B45" s="17" t="s">
        <v>12</v>
      </c>
      <c r="C45" s="17" t="s">
        <v>2902</v>
      </c>
      <c r="D45" s="18">
        <v>10</v>
      </c>
      <c r="E45" s="18">
        <v>2.37</v>
      </c>
      <c r="F45" s="18">
        <v>2.84</v>
      </c>
      <c r="G45" s="20" t="s">
        <v>4056</v>
      </c>
      <c r="H45" s="19" t="str">
        <f>HYPERLINK("https://elefant.by/catalogue/685329430","Посмотреть на сайте ...")</f>
        <v>Посмотреть на сайте ...</v>
      </c>
    </row>
    <row r="46" spans="1:8" s="16" customFormat="1" x14ac:dyDescent="0.25">
      <c r="A46" s="17">
        <v>36</v>
      </c>
      <c r="B46" s="17" t="s">
        <v>12</v>
      </c>
      <c r="C46" s="17" t="s">
        <v>2903</v>
      </c>
      <c r="D46" s="18">
        <v>10</v>
      </c>
      <c r="E46" s="18">
        <v>2.37</v>
      </c>
      <c r="F46" s="18">
        <v>2.84</v>
      </c>
      <c r="G46" s="20" t="s">
        <v>4057</v>
      </c>
      <c r="H46" s="19" t="str">
        <f>HYPERLINK("https://elefant.by/catalogue/685329428","Посмотреть на сайте ...")</f>
        <v>Посмотреть на сайте ...</v>
      </c>
    </row>
    <row r="47" spans="1:8" s="16" customFormat="1" x14ac:dyDescent="0.25">
      <c r="A47" s="17">
        <v>37</v>
      </c>
      <c r="B47" s="17" t="s">
        <v>12</v>
      </c>
      <c r="C47" s="17" t="s">
        <v>2904</v>
      </c>
      <c r="D47" s="18">
        <v>10</v>
      </c>
      <c r="E47" s="18">
        <v>2.37</v>
      </c>
      <c r="F47" s="18">
        <v>2.84</v>
      </c>
      <c r="G47" s="20" t="s">
        <v>4058</v>
      </c>
      <c r="H47" s="19" t="str">
        <f>HYPERLINK("https://elefant.by/catalogue/685329429","Посмотреть на сайте ...")</f>
        <v>Посмотреть на сайте ...</v>
      </c>
    </row>
    <row r="48" spans="1:8" s="16" customFormat="1" x14ac:dyDescent="0.25">
      <c r="A48" s="17">
        <v>38</v>
      </c>
      <c r="B48" s="17" t="s">
        <v>9</v>
      </c>
      <c r="C48" s="17" t="s">
        <v>2905</v>
      </c>
      <c r="D48" s="18">
        <v>24</v>
      </c>
      <c r="E48" s="18">
        <v>2.52</v>
      </c>
      <c r="F48" s="18">
        <v>3.02</v>
      </c>
      <c r="G48" s="20" t="s">
        <v>4059</v>
      </c>
      <c r="H48" s="19" t="str">
        <f>HYPERLINK("https://elefant.by/catalogue/147110683","Посмотреть на сайте ...")</f>
        <v>Посмотреть на сайте ...</v>
      </c>
    </row>
    <row r="49" spans="1:8" s="16" customFormat="1" x14ac:dyDescent="0.25">
      <c r="A49" s="17">
        <v>39</v>
      </c>
      <c r="B49" s="17" t="s">
        <v>9</v>
      </c>
      <c r="C49" s="17" t="s">
        <v>73</v>
      </c>
      <c r="D49" s="18">
        <v>24</v>
      </c>
      <c r="E49" s="18">
        <v>3.16</v>
      </c>
      <c r="F49" s="18">
        <v>3.79</v>
      </c>
      <c r="G49" s="20" t="s">
        <v>74</v>
      </c>
      <c r="H49" s="19" t="str">
        <f>HYPERLINK("https://elefant.by/catalogue/147109425","Посмотреть на сайте ...")</f>
        <v>Посмотреть на сайте ...</v>
      </c>
    </row>
    <row r="50" spans="1:8" s="16" customFormat="1" x14ac:dyDescent="0.25">
      <c r="A50" s="17">
        <v>40</v>
      </c>
      <c r="B50" s="17" t="s">
        <v>9</v>
      </c>
      <c r="C50" s="17" t="s">
        <v>2906</v>
      </c>
      <c r="D50" s="18">
        <v>24</v>
      </c>
      <c r="E50" s="18">
        <v>2.41</v>
      </c>
      <c r="F50" s="18">
        <v>2.89</v>
      </c>
      <c r="G50" s="20" t="s">
        <v>4060</v>
      </c>
      <c r="H50" s="19" t="str">
        <f>HYPERLINK("https://elefant.by/catalogue/169521289","Посмотреть на сайте ...")</f>
        <v>Посмотреть на сайте ...</v>
      </c>
    </row>
    <row r="51" spans="1:8" s="16" customFormat="1" x14ac:dyDescent="0.25">
      <c r="A51" s="17">
        <v>41</v>
      </c>
      <c r="B51" s="17" t="s">
        <v>9</v>
      </c>
      <c r="C51" s="17" t="s">
        <v>2907</v>
      </c>
      <c r="D51" s="18">
        <v>24</v>
      </c>
      <c r="E51" s="18">
        <v>2.41</v>
      </c>
      <c r="F51" s="18">
        <v>2.89</v>
      </c>
      <c r="G51" s="20" t="s">
        <v>4061</v>
      </c>
      <c r="H51" s="19" t="str">
        <f>HYPERLINK("https://elefant.by/catalogue/169521288","Посмотреть на сайте ...")</f>
        <v>Посмотреть на сайте ...</v>
      </c>
    </row>
    <row r="52" spans="1:8" s="16" customFormat="1" x14ac:dyDescent="0.25">
      <c r="A52" s="17">
        <v>42</v>
      </c>
      <c r="B52" s="17" t="s">
        <v>9</v>
      </c>
      <c r="C52" s="17" t="s">
        <v>2908</v>
      </c>
      <c r="D52" s="18">
        <v>24</v>
      </c>
      <c r="E52" s="18">
        <v>2.41</v>
      </c>
      <c r="F52" s="18">
        <v>2.89</v>
      </c>
      <c r="G52" s="20" t="s">
        <v>4062</v>
      </c>
      <c r="H52" s="19" t="str">
        <f>HYPERLINK("https://elefant.by/catalogue/169521287","Посмотреть на сайте ...")</f>
        <v>Посмотреть на сайте ...</v>
      </c>
    </row>
    <row r="53" spans="1:8" s="16" customFormat="1" x14ac:dyDescent="0.25">
      <c r="A53" s="17">
        <v>43</v>
      </c>
      <c r="B53" s="17" t="s">
        <v>132</v>
      </c>
      <c r="C53" s="17" t="s">
        <v>2909</v>
      </c>
      <c r="D53" s="18">
        <v>1</v>
      </c>
      <c r="E53" s="18">
        <v>15.46</v>
      </c>
      <c r="F53" s="18">
        <v>18.55</v>
      </c>
      <c r="G53" s="20" t="s">
        <v>4063</v>
      </c>
      <c r="H53" s="19" t="str">
        <f>HYPERLINK("https://elefant.by/catalogue/171363191","Посмотреть на сайте ...")</f>
        <v>Посмотреть на сайте ...</v>
      </c>
    </row>
    <row r="54" spans="1:8" s="16" customFormat="1" x14ac:dyDescent="0.25">
      <c r="A54" s="17">
        <v>44</v>
      </c>
      <c r="B54" s="17" t="s">
        <v>132</v>
      </c>
      <c r="C54" s="17" t="s">
        <v>2910</v>
      </c>
      <c r="D54" s="18">
        <v>1</v>
      </c>
      <c r="E54" s="18">
        <v>15.46</v>
      </c>
      <c r="F54" s="18">
        <v>18.55</v>
      </c>
      <c r="G54" s="20" t="s">
        <v>4064</v>
      </c>
      <c r="H54" s="19" t="str">
        <f>HYPERLINK("https://elefant.by/catalogue/174679727","Посмотреть на сайте ...")</f>
        <v>Посмотреть на сайте ...</v>
      </c>
    </row>
    <row r="55" spans="1:8" s="16" customFormat="1" x14ac:dyDescent="0.25">
      <c r="A55" s="17">
        <v>45</v>
      </c>
      <c r="B55" s="17" t="s">
        <v>12</v>
      </c>
      <c r="C55" s="17" t="s">
        <v>75</v>
      </c>
      <c r="D55" s="18">
        <v>1</v>
      </c>
      <c r="E55" s="18">
        <v>7.12</v>
      </c>
      <c r="F55" s="18">
        <v>8.5399999999999991</v>
      </c>
      <c r="G55" s="20" t="s">
        <v>76</v>
      </c>
      <c r="H55" s="19" t="str">
        <f>HYPERLINK("https://elefant.by/catalogue/584676599","Посмотреть на сайте ...")</f>
        <v>Посмотреть на сайте ...</v>
      </c>
    </row>
    <row r="56" spans="1:8" s="16" customFormat="1" x14ac:dyDescent="0.25">
      <c r="A56" s="17">
        <v>46</v>
      </c>
      <c r="B56" s="17" t="s">
        <v>12</v>
      </c>
      <c r="C56" s="17" t="s">
        <v>77</v>
      </c>
      <c r="D56" s="18">
        <v>1</v>
      </c>
      <c r="E56" s="18">
        <v>6.36</v>
      </c>
      <c r="F56" s="18">
        <v>7.63</v>
      </c>
      <c r="G56" s="20" t="s">
        <v>78</v>
      </c>
      <c r="H56" s="19" t="str">
        <f>HYPERLINK("https://elefant.by/catalogue/572230766","Посмотреть на сайте ...")</f>
        <v>Посмотреть на сайте ...</v>
      </c>
    </row>
    <row r="57" spans="1:8" s="16" customFormat="1" x14ac:dyDescent="0.25">
      <c r="A57" s="17">
        <v>47</v>
      </c>
      <c r="B57" s="17" t="s">
        <v>20</v>
      </c>
      <c r="C57" s="17" t="s">
        <v>79</v>
      </c>
      <c r="D57" s="18">
        <v>8</v>
      </c>
      <c r="E57" s="18">
        <v>2.14</v>
      </c>
      <c r="F57" s="18">
        <v>2.57</v>
      </c>
      <c r="G57" s="20" t="s">
        <v>80</v>
      </c>
      <c r="H57" s="19" t="str">
        <f>HYPERLINK("https://elefant.by/catalogue/583773115","Посмотреть на сайте ...")</f>
        <v>Посмотреть на сайте ...</v>
      </c>
    </row>
    <row r="58" spans="1:8" s="16" customFormat="1" x14ac:dyDescent="0.25">
      <c r="A58" s="17">
        <v>48</v>
      </c>
      <c r="B58" s="17" t="s">
        <v>20</v>
      </c>
      <c r="C58" s="17" t="s">
        <v>81</v>
      </c>
      <c r="D58" s="18">
        <v>18</v>
      </c>
      <c r="E58" s="18">
        <v>1.4</v>
      </c>
      <c r="F58" s="18">
        <v>1.68</v>
      </c>
      <c r="G58" s="20" t="s">
        <v>82</v>
      </c>
      <c r="H58" s="19" t="str">
        <f>HYPERLINK("https://elefant.by/catalogue/533119854","Посмотреть на сайте ...")</f>
        <v>Посмотреть на сайте ...</v>
      </c>
    </row>
    <row r="59" spans="1:8" s="16" customFormat="1" x14ac:dyDescent="0.25">
      <c r="A59" s="17">
        <v>49</v>
      </c>
      <c r="B59" s="17" t="s">
        <v>20</v>
      </c>
      <c r="C59" s="17" t="s">
        <v>83</v>
      </c>
      <c r="D59" s="18">
        <v>18</v>
      </c>
      <c r="E59" s="18">
        <v>1.4</v>
      </c>
      <c r="F59" s="18">
        <v>1.68</v>
      </c>
      <c r="G59" s="20" t="s">
        <v>84</v>
      </c>
      <c r="H59" s="19" t="str">
        <f>HYPERLINK("https://elefant.by/catalogue/533119851","Посмотреть на сайте ...")</f>
        <v>Посмотреть на сайте ...</v>
      </c>
    </row>
    <row r="60" spans="1:8" s="16" customFormat="1" x14ac:dyDescent="0.25">
      <c r="A60" s="17">
        <v>50</v>
      </c>
      <c r="B60" s="17" t="s">
        <v>20</v>
      </c>
      <c r="C60" s="17" t="s">
        <v>85</v>
      </c>
      <c r="D60" s="18">
        <v>18</v>
      </c>
      <c r="E60" s="18">
        <v>1.4</v>
      </c>
      <c r="F60" s="18">
        <v>1.68</v>
      </c>
      <c r="G60" s="20" t="s">
        <v>86</v>
      </c>
      <c r="H60" s="19" t="str">
        <f>HYPERLINK("https://elefant.by/catalogue/533119853","Посмотреть на сайте ...")</f>
        <v>Посмотреть на сайте ...</v>
      </c>
    </row>
    <row r="61" spans="1:8" s="16" customFormat="1" x14ac:dyDescent="0.25">
      <c r="A61" s="17">
        <v>51</v>
      </c>
      <c r="B61" s="17" t="s">
        <v>87</v>
      </c>
      <c r="C61" s="17" t="s">
        <v>88</v>
      </c>
      <c r="D61" s="18">
        <v>10</v>
      </c>
      <c r="E61" s="18">
        <v>1.35</v>
      </c>
      <c r="F61" s="18">
        <v>1.62</v>
      </c>
      <c r="G61" s="20" t="s">
        <v>89</v>
      </c>
      <c r="H61" s="19" t="str">
        <f>HYPERLINK("https://elefant.by/catalogue/147108748","Посмотреть на сайте ...")</f>
        <v>Посмотреть на сайте ...</v>
      </c>
    </row>
    <row r="62" spans="1:8" s="16" customFormat="1" x14ac:dyDescent="0.25">
      <c r="A62" s="17">
        <v>52</v>
      </c>
      <c r="B62" s="17" t="s">
        <v>20</v>
      </c>
      <c r="C62" s="17" t="s">
        <v>2911</v>
      </c>
      <c r="D62" s="18">
        <v>4</v>
      </c>
      <c r="E62" s="18">
        <v>4.21</v>
      </c>
      <c r="F62" s="18">
        <v>5.05</v>
      </c>
      <c r="G62" s="20" t="s">
        <v>4065</v>
      </c>
      <c r="H62" s="19" t="str">
        <f>HYPERLINK("https://elefant.by/catalogue/677923143","Посмотреть на сайте ...")</f>
        <v>Посмотреть на сайте ...</v>
      </c>
    </row>
    <row r="63" spans="1:8" s="16" customFormat="1" x14ac:dyDescent="0.25">
      <c r="A63" s="17">
        <v>53</v>
      </c>
      <c r="B63" s="17" t="s">
        <v>20</v>
      </c>
      <c r="C63" s="17" t="s">
        <v>2912</v>
      </c>
      <c r="D63" s="18">
        <v>4</v>
      </c>
      <c r="E63" s="18">
        <v>4.21</v>
      </c>
      <c r="F63" s="18">
        <v>5.05</v>
      </c>
      <c r="G63" s="20" t="s">
        <v>4066</v>
      </c>
      <c r="H63" s="19" t="str">
        <f>HYPERLINK("https://elefant.by/catalogue/677923144","Посмотреть на сайте ...")</f>
        <v>Посмотреть на сайте ...</v>
      </c>
    </row>
    <row r="64" spans="1:8" s="16" customFormat="1" x14ac:dyDescent="0.25">
      <c r="A64" s="17">
        <v>54</v>
      </c>
      <c r="B64" s="17" t="s">
        <v>13</v>
      </c>
      <c r="C64" s="17" t="s">
        <v>2913</v>
      </c>
      <c r="D64" s="18">
        <v>6</v>
      </c>
      <c r="E64" s="18">
        <v>2.61</v>
      </c>
      <c r="F64" s="18">
        <v>3.13</v>
      </c>
      <c r="G64" s="20" t="s">
        <v>4067</v>
      </c>
      <c r="H64" s="19" t="str">
        <f>HYPERLINK("https://elefant.by/catalogue/680016439","Посмотреть на сайте ...")</f>
        <v>Посмотреть на сайте ...</v>
      </c>
    </row>
    <row r="65" spans="1:8" s="16" customFormat="1" x14ac:dyDescent="0.25">
      <c r="A65" s="17">
        <v>55</v>
      </c>
      <c r="B65" s="17" t="s">
        <v>13</v>
      </c>
      <c r="C65" s="17" t="s">
        <v>2914</v>
      </c>
      <c r="D65" s="18">
        <v>6</v>
      </c>
      <c r="E65" s="18">
        <v>2.64</v>
      </c>
      <c r="F65" s="18">
        <v>3.17</v>
      </c>
      <c r="G65" s="20" t="s">
        <v>4068</v>
      </c>
      <c r="H65" s="19" t="str">
        <f>HYPERLINK("https://elefant.by/catalogue/685802590","Посмотреть на сайте ...")</f>
        <v>Посмотреть на сайте ...</v>
      </c>
    </row>
    <row r="66" spans="1:8" s="16" customFormat="1" x14ac:dyDescent="0.25">
      <c r="A66" s="17">
        <v>56</v>
      </c>
      <c r="B66" s="17" t="s">
        <v>2915</v>
      </c>
      <c r="C66" s="17" t="s">
        <v>2916</v>
      </c>
      <c r="D66" s="18">
        <v>12</v>
      </c>
      <c r="E66" s="18">
        <v>3.68</v>
      </c>
      <c r="F66" s="18">
        <v>4.42</v>
      </c>
      <c r="G66" s="20" t="s">
        <v>4069</v>
      </c>
      <c r="H66" s="19" t="str">
        <f>HYPERLINK("https://elefant.by/catalogue/665871563","Посмотреть на сайте ...")</f>
        <v>Посмотреть на сайте ...</v>
      </c>
    </row>
    <row r="67" spans="1:8" s="16" customFormat="1" x14ac:dyDescent="0.25">
      <c r="A67" s="17">
        <v>57</v>
      </c>
      <c r="B67" s="17" t="s">
        <v>2915</v>
      </c>
      <c r="C67" s="17" t="s">
        <v>2917</v>
      </c>
      <c r="D67" s="18">
        <v>12</v>
      </c>
      <c r="E67" s="18">
        <v>3.68</v>
      </c>
      <c r="F67" s="18">
        <v>4.42</v>
      </c>
      <c r="G67" s="20" t="s">
        <v>4070</v>
      </c>
      <c r="H67" s="19" t="str">
        <f>HYPERLINK("https://elefant.by/catalogue/694939400","Посмотреть на сайте ...")</f>
        <v>Посмотреть на сайте ...</v>
      </c>
    </row>
    <row r="68" spans="1:8" s="16" customFormat="1" x14ac:dyDescent="0.25">
      <c r="A68" s="17">
        <v>58</v>
      </c>
      <c r="B68" s="17" t="s">
        <v>87</v>
      </c>
      <c r="C68" s="17" t="s">
        <v>90</v>
      </c>
      <c r="D68" s="18">
        <v>24</v>
      </c>
      <c r="E68" s="18">
        <v>3.37</v>
      </c>
      <c r="F68" s="18">
        <v>4.04</v>
      </c>
      <c r="G68" s="20" t="s">
        <v>91</v>
      </c>
      <c r="H68" s="19" t="str">
        <f>HYPERLINK("https://elefant.by/catalogue/173531667","Посмотреть на сайте ...")</f>
        <v>Посмотреть на сайте ...</v>
      </c>
    </row>
    <row r="69" spans="1:8" s="16" customFormat="1" x14ac:dyDescent="0.25">
      <c r="A69" s="17">
        <v>59</v>
      </c>
      <c r="B69" s="17" t="s">
        <v>2915</v>
      </c>
      <c r="C69" s="17" t="s">
        <v>2918</v>
      </c>
      <c r="D69" s="18">
        <v>50</v>
      </c>
      <c r="E69" s="18">
        <v>0.62</v>
      </c>
      <c r="F69" s="18">
        <v>0.74</v>
      </c>
      <c r="G69" s="20" t="s">
        <v>4071</v>
      </c>
      <c r="H69" s="19" t="str">
        <f>HYPERLINK("https://elefant.by/catalogue/651855990","Посмотреть на сайте ...")</f>
        <v>Посмотреть на сайте ...</v>
      </c>
    </row>
    <row r="70" spans="1:8" s="16" customFormat="1" x14ac:dyDescent="0.25">
      <c r="A70" s="17">
        <v>60</v>
      </c>
      <c r="B70" s="17" t="s">
        <v>2915</v>
      </c>
      <c r="C70" s="17" t="s">
        <v>2919</v>
      </c>
      <c r="D70" s="18">
        <v>50</v>
      </c>
      <c r="E70" s="18">
        <v>0.62</v>
      </c>
      <c r="F70" s="18">
        <v>0.74</v>
      </c>
      <c r="G70" s="20" t="s">
        <v>4072</v>
      </c>
      <c r="H70" s="19" t="str">
        <f>HYPERLINK("https://elefant.by/catalogue/656601493","Посмотреть на сайте ...")</f>
        <v>Посмотреть на сайте ...</v>
      </c>
    </row>
    <row r="71" spans="1:8" s="16" customFormat="1" x14ac:dyDescent="0.25">
      <c r="A71" s="17">
        <v>61</v>
      </c>
      <c r="B71" s="17" t="s">
        <v>2915</v>
      </c>
      <c r="C71" s="17" t="s">
        <v>2920</v>
      </c>
      <c r="D71" s="18">
        <v>50</v>
      </c>
      <c r="E71" s="18">
        <v>0.62</v>
      </c>
      <c r="F71" s="18">
        <v>0.74</v>
      </c>
      <c r="G71" s="20" t="s">
        <v>4073</v>
      </c>
      <c r="H71" s="19" t="str">
        <f>HYPERLINK("https://elefant.by/catalogue/651855991","Посмотреть на сайте ...")</f>
        <v>Посмотреть на сайте ...</v>
      </c>
    </row>
    <row r="72" spans="1:8" s="16" customFormat="1" x14ac:dyDescent="0.25">
      <c r="A72" s="17">
        <v>62</v>
      </c>
      <c r="B72" s="17" t="s">
        <v>13</v>
      </c>
      <c r="C72" s="17" t="s">
        <v>92</v>
      </c>
      <c r="D72" s="18">
        <v>16</v>
      </c>
      <c r="E72" s="18">
        <v>0.82</v>
      </c>
      <c r="F72" s="18">
        <v>0.98</v>
      </c>
      <c r="G72" s="20" t="s">
        <v>93</v>
      </c>
      <c r="H72" s="19" t="str">
        <f>HYPERLINK("https://elefant.by/catalogue/571834780","Посмотреть на сайте ...")</f>
        <v>Посмотреть на сайте ...</v>
      </c>
    </row>
    <row r="73" spans="1:8" s="16" customFormat="1" x14ac:dyDescent="0.25">
      <c r="A73" s="17">
        <v>63</v>
      </c>
      <c r="B73" s="17" t="s">
        <v>13</v>
      </c>
      <c r="C73" s="17" t="s">
        <v>94</v>
      </c>
      <c r="D73" s="18">
        <v>16</v>
      </c>
      <c r="E73" s="18">
        <v>0.84</v>
      </c>
      <c r="F73" s="18">
        <v>1.01</v>
      </c>
      <c r="G73" s="20" t="s">
        <v>95</v>
      </c>
      <c r="H73" s="19" t="str">
        <f>HYPERLINK("https://elefant.by/catalogue/571834781","Посмотреть на сайте ...")</f>
        <v>Посмотреть на сайте ...</v>
      </c>
    </row>
    <row r="74" spans="1:8" s="16" customFormat="1" x14ac:dyDescent="0.25">
      <c r="A74" s="17">
        <v>64</v>
      </c>
      <c r="B74" s="17" t="s">
        <v>2915</v>
      </c>
      <c r="C74" s="17" t="s">
        <v>2921</v>
      </c>
      <c r="D74" s="18">
        <v>50</v>
      </c>
      <c r="E74" s="18">
        <v>0.62</v>
      </c>
      <c r="F74" s="18">
        <v>0.74</v>
      </c>
      <c r="G74" s="20" t="s">
        <v>4074</v>
      </c>
      <c r="H74" s="19" t="str">
        <f>HYPERLINK("https://elefant.by/catalogue/665871554","Посмотреть на сайте ...")</f>
        <v>Посмотреть на сайте ...</v>
      </c>
    </row>
    <row r="75" spans="1:8" s="16" customFormat="1" x14ac:dyDescent="0.25">
      <c r="A75" s="17">
        <v>65</v>
      </c>
      <c r="B75" s="17" t="s">
        <v>13</v>
      </c>
      <c r="C75" s="17" t="s">
        <v>96</v>
      </c>
      <c r="D75" s="18">
        <v>16</v>
      </c>
      <c r="E75" s="18">
        <v>0.84</v>
      </c>
      <c r="F75" s="18">
        <v>1.01</v>
      </c>
      <c r="G75" s="20" t="s">
        <v>97</v>
      </c>
      <c r="H75" s="19" t="str">
        <f>HYPERLINK("https://elefant.by/catalogue/579307451","Посмотреть на сайте ...")</f>
        <v>Посмотреть на сайте ...</v>
      </c>
    </row>
    <row r="76" spans="1:8" s="16" customFormat="1" x14ac:dyDescent="0.25">
      <c r="A76" s="17">
        <v>66</v>
      </c>
      <c r="B76" s="17" t="s">
        <v>2915</v>
      </c>
      <c r="C76" s="17" t="s">
        <v>2922</v>
      </c>
      <c r="D76" s="18">
        <v>50</v>
      </c>
      <c r="E76" s="18">
        <v>0.46</v>
      </c>
      <c r="F76" s="18">
        <v>0.55000000000000004</v>
      </c>
      <c r="G76" s="20" t="s">
        <v>4075</v>
      </c>
      <c r="H76" s="19" t="str">
        <f>HYPERLINK("https://elefant.by/catalogue/665871555","Посмотреть на сайте ...")</f>
        <v>Посмотреть на сайте ...</v>
      </c>
    </row>
    <row r="77" spans="1:8" s="16" customFormat="1" x14ac:dyDescent="0.25">
      <c r="A77" s="17">
        <v>67</v>
      </c>
      <c r="B77" s="17" t="s">
        <v>2915</v>
      </c>
      <c r="C77" s="17" t="s">
        <v>2923</v>
      </c>
      <c r="D77" s="18">
        <v>50</v>
      </c>
      <c r="E77" s="18">
        <v>0.48</v>
      </c>
      <c r="F77" s="18">
        <v>0.57999999999999996</v>
      </c>
      <c r="G77" s="20" t="s">
        <v>4076</v>
      </c>
      <c r="H77" s="19" t="str">
        <f>HYPERLINK("https://elefant.by/catalogue/656601499","Посмотреть на сайте ...")</f>
        <v>Посмотреть на сайте ...</v>
      </c>
    </row>
    <row r="78" spans="1:8" s="16" customFormat="1" x14ac:dyDescent="0.25">
      <c r="A78" s="17">
        <v>68</v>
      </c>
      <c r="B78" s="17" t="s">
        <v>2915</v>
      </c>
      <c r="C78" s="17" t="s">
        <v>2924</v>
      </c>
      <c r="D78" s="18">
        <v>50</v>
      </c>
      <c r="E78" s="18">
        <v>0.48</v>
      </c>
      <c r="F78" s="18">
        <v>0.57999999999999996</v>
      </c>
      <c r="G78" s="20" t="s">
        <v>4077</v>
      </c>
      <c r="H78" s="19" t="str">
        <f>HYPERLINK("https://elefant.by/catalogue/651735971","Посмотреть на сайте ...")</f>
        <v>Посмотреть на сайте ...</v>
      </c>
    </row>
    <row r="79" spans="1:8" s="16" customFormat="1" x14ac:dyDescent="0.25">
      <c r="A79" s="17">
        <v>69</v>
      </c>
      <c r="B79" s="17" t="s">
        <v>87</v>
      </c>
      <c r="C79" s="17" t="s">
        <v>98</v>
      </c>
      <c r="D79" s="18">
        <v>48</v>
      </c>
      <c r="E79" s="18">
        <v>1.1100000000000001</v>
      </c>
      <c r="F79" s="18">
        <v>1.33</v>
      </c>
      <c r="G79" s="20" t="s">
        <v>99</v>
      </c>
      <c r="H79" s="19" t="str">
        <f>HYPERLINK("https://elefant.by/catalogue/166134046","Посмотреть на сайте ...")</f>
        <v>Посмотреть на сайте ...</v>
      </c>
    </row>
    <row r="80" spans="1:8" s="16" customFormat="1" x14ac:dyDescent="0.25">
      <c r="A80" s="17">
        <v>70</v>
      </c>
      <c r="B80" s="17" t="s">
        <v>13</v>
      </c>
      <c r="C80" s="17" t="s">
        <v>100</v>
      </c>
      <c r="D80" s="18">
        <v>15</v>
      </c>
      <c r="E80" s="18">
        <v>1.21</v>
      </c>
      <c r="F80" s="18">
        <v>1.45</v>
      </c>
      <c r="G80" s="20" t="s">
        <v>101</v>
      </c>
      <c r="H80" s="19" t="str">
        <f>HYPERLINK("https://elefant.by/catalogue/622650492","Посмотреть на сайте ...")</f>
        <v>Посмотреть на сайте ...</v>
      </c>
    </row>
    <row r="81" spans="1:8" s="16" customFormat="1" x14ac:dyDescent="0.25">
      <c r="A81" s="17">
        <v>71</v>
      </c>
      <c r="B81" s="17" t="s">
        <v>13</v>
      </c>
      <c r="C81" s="17" t="s">
        <v>102</v>
      </c>
      <c r="D81" s="18">
        <v>15</v>
      </c>
      <c r="E81" s="18">
        <v>1.21</v>
      </c>
      <c r="F81" s="18">
        <v>1.45</v>
      </c>
      <c r="G81" s="20" t="s">
        <v>103</v>
      </c>
      <c r="H81" s="19" t="str">
        <f>HYPERLINK("https://elefant.by/catalogue/642291014","Посмотреть на сайте ...")</f>
        <v>Посмотреть на сайте ...</v>
      </c>
    </row>
    <row r="82" spans="1:8" s="16" customFormat="1" x14ac:dyDescent="0.25">
      <c r="A82" s="17">
        <v>72</v>
      </c>
      <c r="B82" s="17" t="s">
        <v>13</v>
      </c>
      <c r="C82" s="17" t="s">
        <v>104</v>
      </c>
      <c r="D82" s="18">
        <v>15</v>
      </c>
      <c r="E82" s="18">
        <v>1.21</v>
      </c>
      <c r="F82" s="18">
        <v>1.45</v>
      </c>
      <c r="G82" s="20" t="s">
        <v>105</v>
      </c>
      <c r="H82" s="19" t="str">
        <f>HYPERLINK("https://elefant.by/catalogue/622650494","Посмотреть на сайте ...")</f>
        <v>Посмотреть на сайте ...</v>
      </c>
    </row>
    <row r="83" spans="1:8" s="16" customFormat="1" x14ac:dyDescent="0.25">
      <c r="A83" s="17">
        <v>73</v>
      </c>
      <c r="B83" s="17" t="s">
        <v>87</v>
      </c>
      <c r="C83" s="17" t="s">
        <v>106</v>
      </c>
      <c r="D83" s="18">
        <v>48</v>
      </c>
      <c r="E83" s="18">
        <v>1.44</v>
      </c>
      <c r="F83" s="18">
        <v>1.73</v>
      </c>
      <c r="G83" s="20" t="s">
        <v>107</v>
      </c>
      <c r="H83" s="19" t="str">
        <f>HYPERLINK("https://elefant.by/catalogue/157821215","Посмотреть на сайте ...")</f>
        <v>Посмотреть на сайте ...</v>
      </c>
    </row>
    <row r="84" spans="1:8" s="16" customFormat="1" x14ac:dyDescent="0.25">
      <c r="A84" s="17">
        <v>74</v>
      </c>
      <c r="B84" s="17" t="s">
        <v>13</v>
      </c>
      <c r="C84" s="17" t="s">
        <v>2925</v>
      </c>
      <c r="D84" s="18">
        <v>20</v>
      </c>
      <c r="E84" s="18">
        <v>1.42</v>
      </c>
      <c r="F84" s="18">
        <v>1.7</v>
      </c>
      <c r="G84" s="20" t="s">
        <v>108</v>
      </c>
      <c r="H84" s="19" t="str">
        <f>HYPERLINK("https://elefant.by/catalogue/631568149","Посмотреть на сайте ...")</f>
        <v>Посмотреть на сайте ...</v>
      </c>
    </row>
    <row r="85" spans="1:8" s="16" customFormat="1" x14ac:dyDescent="0.25">
      <c r="A85" s="17">
        <v>75</v>
      </c>
      <c r="B85" s="17" t="s">
        <v>13</v>
      </c>
      <c r="C85" s="17" t="s">
        <v>109</v>
      </c>
      <c r="D85" s="18">
        <v>20</v>
      </c>
      <c r="E85" s="18">
        <v>1.42</v>
      </c>
      <c r="F85" s="18">
        <v>1.7</v>
      </c>
      <c r="G85" s="20" t="s">
        <v>110</v>
      </c>
      <c r="H85" s="19" t="str">
        <f>HYPERLINK("https://elefant.by/catalogue/622650495","Посмотреть на сайте ...")</f>
        <v>Посмотреть на сайте ...</v>
      </c>
    </row>
    <row r="86" spans="1:8" s="16" customFormat="1" x14ac:dyDescent="0.25">
      <c r="A86" s="17">
        <v>76</v>
      </c>
      <c r="B86" s="17" t="s">
        <v>13</v>
      </c>
      <c r="C86" s="17" t="s">
        <v>111</v>
      </c>
      <c r="D86" s="18">
        <v>20</v>
      </c>
      <c r="E86" s="18">
        <v>1.42</v>
      </c>
      <c r="F86" s="18">
        <v>1.7</v>
      </c>
      <c r="G86" s="20" t="s">
        <v>112</v>
      </c>
      <c r="H86" s="19" t="str">
        <f>HYPERLINK("https://elefant.by/catalogue/622650496","Посмотреть на сайте ...")</f>
        <v>Посмотреть на сайте ...</v>
      </c>
    </row>
    <row r="87" spans="1:8" s="16" customFormat="1" x14ac:dyDescent="0.25">
      <c r="A87" s="17">
        <v>77</v>
      </c>
      <c r="B87" s="17" t="s">
        <v>13</v>
      </c>
      <c r="C87" s="17" t="s">
        <v>113</v>
      </c>
      <c r="D87" s="18">
        <v>12</v>
      </c>
      <c r="E87" s="18">
        <v>1.17</v>
      </c>
      <c r="F87" s="18">
        <v>1.4</v>
      </c>
      <c r="G87" s="20" t="s">
        <v>114</v>
      </c>
      <c r="H87" s="19" t="str">
        <f>HYPERLINK("https://elefant.by/catalogue/503192495","Посмотреть на сайте ...")</f>
        <v>Посмотреть на сайте ...</v>
      </c>
    </row>
    <row r="88" spans="1:8" s="16" customFormat="1" x14ac:dyDescent="0.25">
      <c r="A88" s="17">
        <v>78</v>
      </c>
      <c r="B88" s="17" t="s">
        <v>20</v>
      </c>
      <c r="C88" s="17" t="s">
        <v>2926</v>
      </c>
      <c r="D88" s="18">
        <v>6</v>
      </c>
      <c r="E88" s="18">
        <v>2.4</v>
      </c>
      <c r="F88" s="18">
        <v>2.88</v>
      </c>
      <c r="G88" s="20" t="s">
        <v>4078</v>
      </c>
      <c r="H88" s="19" t="str">
        <f>HYPERLINK("https://elefant.by/catalogue/667115370","Посмотреть на сайте ...")</f>
        <v>Посмотреть на сайте ...</v>
      </c>
    </row>
    <row r="89" spans="1:8" s="16" customFormat="1" x14ac:dyDescent="0.25">
      <c r="A89" s="17">
        <v>79</v>
      </c>
      <c r="B89" s="17" t="s">
        <v>20</v>
      </c>
      <c r="C89" s="17" t="s">
        <v>2927</v>
      </c>
      <c r="D89" s="18">
        <v>6</v>
      </c>
      <c r="E89" s="18">
        <v>2.4</v>
      </c>
      <c r="F89" s="18">
        <v>2.88</v>
      </c>
      <c r="G89" s="20" t="s">
        <v>4079</v>
      </c>
      <c r="H89" s="19" t="str">
        <f>HYPERLINK("https://elefant.by/catalogue/667115371","Посмотреть на сайте ...")</f>
        <v>Посмотреть на сайте ...</v>
      </c>
    </row>
    <row r="90" spans="1:8" s="16" customFormat="1" x14ac:dyDescent="0.25">
      <c r="A90" s="17">
        <v>80</v>
      </c>
      <c r="B90" s="17" t="s">
        <v>2915</v>
      </c>
      <c r="C90" s="17" t="s">
        <v>2928</v>
      </c>
      <c r="D90" s="18">
        <v>24</v>
      </c>
      <c r="E90" s="18">
        <v>1.83</v>
      </c>
      <c r="F90" s="18">
        <v>2.2000000000000002</v>
      </c>
      <c r="G90" s="20" t="s">
        <v>4080</v>
      </c>
      <c r="H90" s="19" t="str">
        <f>HYPERLINK("https://elefant.by/catalogue/665871564","Посмотреть на сайте ...")</f>
        <v>Посмотреть на сайте ...</v>
      </c>
    </row>
    <row r="91" spans="1:8" s="16" customFormat="1" x14ac:dyDescent="0.25">
      <c r="A91" s="17">
        <v>81</v>
      </c>
      <c r="B91" s="17" t="s">
        <v>2915</v>
      </c>
      <c r="C91" s="17" t="s">
        <v>2929</v>
      </c>
      <c r="D91" s="18">
        <v>24</v>
      </c>
      <c r="E91" s="18">
        <v>1.83</v>
      </c>
      <c r="F91" s="18">
        <v>2.2000000000000002</v>
      </c>
      <c r="G91" s="20" t="s">
        <v>4081</v>
      </c>
      <c r="H91" s="19" t="str">
        <f>HYPERLINK("https://elefant.by/catalogue/671048816","Посмотреть на сайте ...")</f>
        <v>Посмотреть на сайте ...</v>
      </c>
    </row>
    <row r="92" spans="1:8" s="16" customFormat="1" x14ac:dyDescent="0.25">
      <c r="A92" s="17">
        <v>82</v>
      </c>
      <c r="B92" s="17" t="s">
        <v>2915</v>
      </c>
      <c r="C92" s="17" t="s">
        <v>2930</v>
      </c>
      <c r="D92" s="18">
        <v>24</v>
      </c>
      <c r="E92" s="18">
        <v>1.83</v>
      </c>
      <c r="F92" s="18">
        <v>2.2000000000000002</v>
      </c>
      <c r="G92" s="20" t="s">
        <v>4082</v>
      </c>
      <c r="H92" s="19" t="str">
        <f>HYPERLINK("https://elefant.by/catalogue/665871565","Посмотреть на сайте ...")</f>
        <v>Посмотреть на сайте ...</v>
      </c>
    </row>
    <row r="93" spans="1:8" s="16" customFormat="1" x14ac:dyDescent="0.25">
      <c r="A93" s="17">
        <v>83</v>
      </c>
      <c r="B93" s="17" t="s">
        <v>2915</v>
      </c>
      <c r="C93" s="17" t="s">
        <v>2931</v>
      </c>
      <c r="D93" s="18">
        <v>24</v>
      </c>
      <c r="E93" s="18">
        <v>1.83</v>
      </c>
      <c r="F93" s="18">
        <v>2.2000000000000002</v>
      </c>
      <c r="G93" s="20" t="s">
        <v>4083</v>
      </c>
      <c r="H93" s="19" t="str">
        <f>HYPERLINK("https://elefant.by/catalogue/665871566","Посмотреть на сайте ...")</f>
        <v>Посмотреть на сайте ...</v>
      </c>
    </row>
    <row r="94" spans="1:8" s="16" customFormat="1" x14ac:dyDescent="0.25">
      <c r="A94" s="17">
        <v>84</v>
      </c>
      <c r="B94" s="17" t="s">
        <v>2915</v>
      </c>
      <c r="C94" s="17" t="s">
        <v>2932</v>
      </c>
      <c r="D94" s="18">
        <v>24</v>
      </c>
      <c r="E94" s="18">
        <v>1.2</v>
      </c>
      <c r="F94" s="18">
        <v>1.44</v>
      </c>
      <c r="G94" s="20" t="s">
        <v>4084</v>
      </c>
      <c r="H94" s="19" t="str">
        <f>HYPERLINK("https://elefant.by/catalogue/651735938","Посмотреть на сайте ...")</f>
        <v>Посмотреть на сайте ...</v>
      </c>
    </row>
    <row r="95" spans="1:8" s="16" customFormat="1" x14ac:dyDescent="0.25">
      <c r="A95" s="17">
        <v>85</v>
      </c>
      <c r="B95" s="17" t="s">
        <v>13</v>
      </c>
      <c r="C95" s="17" t="s">
        <v>2933</v>
      </c>
      <c r="D95" s="18">
        <v>36</v>
      </c>
      <c r="E95" s="18">
        <v>0.27</v>
      </c>
      <c r="F95" s="18">
        <v>0.32</v>
      </c>
      <c r="G95" s="20" t="s">
        <v>4085</v>
      </c>
      <c r="H95" s="19" t="str">
        <f>HYPERLINK("https://elefant.by/catalogue/642291015","Посмотреть на сайте ...")</f>
        <v>Посмотреть на сайте ...</v>
      </c>
    </row>
    <row r="96" spans="1:8" s="16" customFormat="1" x14ac:dyDescent="0.25">
      <c r="A96" s="17">
        <v>86</v>
      </c>
      <c r="B96" s="17" t="s">
        <v>13</v>
      </c>
      <c r="C96" s="17" t="s">
        <v>2934</v>
      </c>
      <c r="D96" s="18">
        <v>36</v>
      </c>
      <c r="E96" s="18">
        <v>0.27</v>
      </c>
      <c r="F96" s="18">
        <v>0.32</v>
      </c>
      <c r="G96" s="20" t="s">
        <v>4086</v>
      </c>
      <c r="H96" s="19" t="str">
        <f>HYPERLINK("https://elefant.by/catalogue/639444642","Посмотреть на сайте ...")</f>
        <v>Посмотреть на сайте ...</v>
      </c>
    </row>
    <row r="97" spans="1:8" s="16" customFormat="1" x14ac:dyDescent="0.25">
      <c r="A97" s="17">
        <v>87</v>
      </c>
      <c r="B97" s="17" t="s">
        <v>13</v>
      </c>
      <c r="C97" s="17" t="s">
        <v>2935</v>
      </c>
      <c r="D97" s="18">
        <v>36</v>
      </c>
      <c r="E97" s="18">
        <v>0.27</v>
      </c>
      <c r="F97" s="18">
        <v>0.32</v>
      </c>
      <c r="G97" s="20" t="s">
        <v>4087</v>
      </c>
      <c r="H97" s="19" t="str">
        <f>HYPERLINK("https://elefant.by/catalogue/703823479","Посмотреть на сайте ...")</f>
        <v>Посмотреть на сайте ...</v>
      </c>
    </row>
    <row r="98" spans="1:8" s="16" customFormat="1" x14ac:dyDescent="0.25">
      <c r="A98" s="17">
        <v>88</v>
      </c>
      <c r="B98" s="17" t="s">
        <v>13</v>
      </c>
      <c r="C98" s="17" t="s">
        <v>2936</v>
      </c>
      <c r="D98" s="18">
        <v>18</v>
      </c>
      <c r="E98" s="18">
        <v>0.27</v>
      </c>
      <c r="F98" s="18">
        <v>0.32</v>
      </c>
      <c r="G98" s="20" t="s">
        <v>4088</v>
      </c>
      <c r="H98" s="19" t="str">
        <f>HYPERLINK("https://elefant.by/catalogue/639444644","Посмотреть на сайте ...")</f>
        <v>Посмотреть на сайте ...</v>
      </c>
    </row>
    <row r="99" spans="1:8" s="16" customFormat="1" x14ac:dyDescent="0.25">
      <c r="A99" s="17">
        <v>89</v>
      </c>
      <c r="B99" s="17" t="s">
        <v>13</v>
      </c>
      <c r="C99" s="17" t="s">
        <v>2937</v>
      </c>
      <c r="D99" s="18">
        <v>36</v>
      </c>
      <c r="E99" s="18">
        <v>0.27</v>
      </c>
      <c r="F99" s="18">
        <v>0.32</v>
      </c>
      <c r="G99" s="20" t="s">
        <v>4089</v>
      </c>
      <c r="H99" s="19" t="str">
        <f>HYPERLINK("https://elefant.by/catalogue/639444645","Посмотреть на сайте ...")</f>
        <v>Посмотреть на сайте ...</v>
      </c>
    </row>
    <row r="100" spans="1:8" s="16" customFormat="1" x14ac:dyDescent="0.25">
      <c r="A100" s="17">
        <v>90</v>
      </c>
      <c r="B100" s="17" t="s">
        <v>13</v>
      </c>
      <c r="C100" s="17" t="s">
        <v>2938</v>
      </c>
      <c r="D100" s="18">
        <v>36</v>
      </c>
      <c r="E100" s="18">
        <v>0.31</v>
      </c>
      <c r="F100" s="18">
        <v>0.37</v>
      </c>
      <c r="G100" s="20" t="s">
        <v>4090</v>
      </c>
      <c r="H100" s="19" t="str">
        <f>HYPERLINK("https://elefant.by/catalogue/639444646","Посмотреть на сайте ...")</f>
        <v>Посмотреть на сайте ...</v>
      </c>
    </row>
    <row r="101" spans="1:8" s="16" customFormat="1" x14ac:dyDescent="0.25">
      <c r="A101" s="17">
        <v>91</v>
      </c>
      <c r="B101" s="17" t="s">
        <v>13</v>
      </c>
      <c r="C101" s="17" t="s">
        <v>2939</v>
      </c>
      <c r="D101" s="18">
        <v>36</v>
      </c>
      <c r="E101" s="18">
        <v>0.31</v>
      </c>
      <c r="F101" s="18">
        <v>0.37</v>
      </c>
      <c r="G101" s="20" t="s">
        <v>4091</v>
      </c>
      <c r="H101" s="19" t="str">
        <f>HYPERLINK("https://elefant.by/catalogue/639444647","Посмотреть на сайте ...")</f>
        <v>Посмотреть на сайте ...</v>
      </c>
    </row>
    <row r="102" spans="1:8" s="16" customFormat="1" x14ac:dyDescent="0.25">
      <c r="A102" s="17">
        <v>92</v>
      </c>
      <c r="B102" s="17" t="s">
        <v>13</v>
      </c>
      <c r="C102" s="17" t="s">
        <v>2940</v>
      </c>
      <c r="D102" s="18">
        <v>36</v>
      </c>
      <c r="E102" s="18">
        <v>0.31</v>
      </c>
      <c r="F102" s="18">
        <v>0.37</v>
      </c>
      <c r="G102" s="20" t="s">
        <v>4092</v>
      </c>
      <c r="H102" s="19" t="str">
        <f>HYPERLINK("https://elefant.by/catalogue/639444648","Посмотреть на сайте ...")</f>
        <v>Посмотреть на сайте ...</v>
      </c>
    </row>
    <row r="103" spans="1:8" s="16" customFormat="1" x14ac:dyDescent="0.25">
      <c r="A103" s="17">
        <v>93</v>
      </c>
      <c r="B103" s="17" t="s">
        <v>13</v>
      </c>
      <c r="C103" s="17" t="s">
        <v>2941</v>
      </c>
      <c r="D103" s="18">
        <v>36</v>
      </c>
      <c r="E103" s="18">
        <v>0.31</v>
      </c>
      <c r="F103" s="18">
        <v>0.37</v>
      </c>
      <c r="G103" s="20" t="s">
        <v>4093</v>
      </c>
      <c r="H103" s="19" t="str">
        <f>HYPERLINK("https://elefant.by/catalogue/648449926","Посмотреть на сайте ...")</f>
        <v>Посмотреть на сайте ...</v>
      </c>
    </row>
    <row r="104" spans="1:8" s="16" customFormat="1" x14ac:dyDescent="0.25">
      <c r="A104" s="17">
        <v>94</v>
      </c>
      <c r="B104" s="17" t="s">
        <v>2915</v>
      </c>
      <c r="C104" s="17" t="s">
        <v>2942</v>
      </c>
      <c r="D104" s="18">
        <v>50</v>
      </c>
      <c r="E104" s="18">
        <v>0.34</v>
      </c>
      <c r="F104" s="18">
        <v>0.41</v>
      </c>
      <c r="G104" s="20" t="s">
        <v>4094</v>
      </c>
      <c r="H104" s="19" t="str">
        <f>HYPERLINK("https://elefant.by/catalogue/656601496","Посмотреть на сайте ...")</f>
        <v>Посмотреть на сайте ...</v>
      </c>
    </row>
    <row r="105" spans="1:8" s="16" customFormat="1" x14ac:dyDescent="0.25">
      <c r="A105" s="17">
        <v>95</v>
      </c>
      <c r="B105" s="17" t="s">
        <v>2915</v>
      </c>
      <c r="C105" s="17" t="s">
        <v>2943</v>
      </c>
      <c r="D105" s="18">
        <v>50</v>
      </c>
      <c r="E105" s="18">
        <v>0.34</v>
      </c>
      <c r="F105" s="18">
        <v>0.41</v>
      </c>
      <c r="G105" s="20" t="s">
        <v>4095</v>
      </c>
      <c r="H105" s="19" t="str">
        <f>HYPERLINK("https://elefant.by/catalogue/665871553","Посмотреть на сайте ...")</f>
        <v>Посмотреть на сайте ...</v>
      </c>
    </row>
    <row r="106" spans="1:8" s="16" customFormat="1" x14ac:dyDescent="0.25">
      <c r="A106" s="17">
        <v>96</v>
      </c>
      <c r="B106" s="17" t="s">
        <v>2915</v>
      </c>
      <c r="C106" s="17" t="s">
        <v>2944</v>
      </c>
      <c r="D106" s="18">
        <v>50</v>
      </c>
      <c r="E106" s="18">
        <v>0.34</v>
      </c>
      <c r="F106" s="18">
        <v>0.41</v>
      </c>
      <c r="G106" s="20" t="s">
        <v>4096</v>
      </c>
      <c r="H106" s="19" t="str">
        <f>HYPERLINK("https://elefant.by/catalogue/651735964","Посмотреть на сайте ...")</f>
        <v>Посмотреть на сайте ...</v>
      </c>
    </row>
    <row r="107" spans="1:8" s="16" customFormat="1" x14ac:dyDescent="0.25">
      <c r="A107" s="17">
        <v>97</v>
      </c>
      <c r="B107" s="17" t="s">
        <v>2915</v>
      </c>
      <c r="C107" s="17" t="s">
        <v>2945</v>
      </c>
      <c r="D107" s="18">
        <v>50</v>
      </c>
      <c r="E107" s="18">
        <v>0.34</v>
      </c>
      <c r="F107" s="18">
        <v>0.41</v>
      </c>
      <c r="G107" s="20" t="s">
        <v>4097</v>
      </c>
      <c r="H107" s="19" t="str">
        <f>HYPERLINK("https://elefant.by/catalogue/651735966","Посмотреть на сайте ...")</f>
        <v>Посмотреть на сайте ...</v>
      </c>
    </row>
    <row r="108" spans="1:8" s="16" customFormat="1" x14ac:dyDescent="0.25">
      <c r="A108" s="17">
        <v>98</v>
      </c>
      <c r="B108" s="17" t="s">
        <v>13</v>
      </c>
      <c r="C108" s="17" t="s">
        <v>2946</v>
      </c>
      <c r="D108" s="18">
        <v>35</v>
      </c>
      <c r="E108" s="18">
        <v>0.49</v>
      </c>
      <c r="F108" s="18">
        <v>0.59</v>
      </c>
      <c r="G108" s="20" t="s">
        <v>4098</v>
      </c>
      <c r="H108" s="19" t="str">
        <f>HYPERLINK("https://elefant.by/catalogue/655107503","Посмотреть на сайте ...")</f>
        <v>Посмотреть на сайте ...</v>
      </c>
    </row>
    <row r="109" spans="1:8" s="16" customFormat="1" x14ac:dyDescent="0.25">
      <c r="A109" s="17">
        <v>99</v>
      </c>
      <c r="B109" s="17" t="s">
        <v>13</v>
      </c>
      <c r="C109" s="17" t="s">
        <v>2947</v>
      </c>
      <c r="D109" s="18">
        <v>9</v>
      </c>
      <c r="E109" s="18">
        <v>0.41</v>
      </c>
      <c r="F109" s="18">
        <v>0.49</v>
      </c>
      <c r="G109" s="20" t="s">
        <v>4099</v>
      </c>
      <c r="H109" s="19" t="str">
        <f>HYPERLINK("https://elefant.by/catalogue/639444649","Посмотреть на сайте ...")</f>
        <v>Посмотреть на сайте ...</v>
      </c>
    </row>
    <row r="110" spans="1:8" s="16" customFormat="1" x14ac:dyDescent="0.25">
      <c r="A110" s="17">
        <v>100</v>
      </c>
      <c r="B110" s="17" t="s">
        <v>13</v>
      </c>
      <c r="C110" s="17" t="s">
        <v>2948</v>
      </c>
      <c r="D110" s="18">
        <v>27</v>
      </c>
      <c r="E110" s="18">
        <v>0.41</v>
      </c>
      <c r="F110" s="18">
        <v>0.49</v>
      </c>
      <c r="G110" s="20" t="s">
        <v>4100</v>
      </c>
      <c r="H110" s="19" t="str">
        <f>HYPERLINK("https://elefant.by/catalogue/639444650","Посмотреть на сайте ...")</f>
        <v>Посмотреть на сайте ...</v>
      </c>
    </row>
    <row r="111" spans="1:8" s="16" customFormat="1" x14ac:dyDescent="0.25">
      <c r="A111" s="17">
        <v>101</v>
      </c>
      <c r="B111" s="17" t="s">
        <v>13</v>
      </c>
      <c r="C111" s="17" t="s">
        <v>2949</v>
      </c>
      <c r="D111" s="18">
        <v>27</v>
      </c>
      <c r="E111" s="18">
        <v>0.41</v>
      </c>
      <c r="F111" s="18">
        <v>0.49</v>
      </c>
      <c r="G111" s="20" t="s">
        <v>4101</v>
      </c>
      <c r="H111" s="19" t="str">
        <f>HYPERLINK("https://elefant.by/catalogue/639444651","Посмотреть на сайте ...")</f>
        <v>Посмотреть на сайте ...</v>
      </c>
    </row>
    <row r="112" spans="1:8" s="16" customFormat="1" x14ac:dyDescent="0.25">
      <c r="A112" s="17">
        <v>102</v>
      </c>
      <c r="B112" s="17" t="s">
        <v>13</v>
      </c>
      <c r="C112" s="17" t="s">
        <v>2950</v>
      </c>
      <c r="D112" s="18">
        <v>9</v>
      </c>
      <c r="E112" s="18">
        <v>0.41</v>
      </c>
      <c r="F112" s="18">
        <v>0.49</v>
      </c>
      <c r="G112" s="20" t="s">
        <v>4102</v>
      </c>
      <c r="H112" s="19" t="str">
        <f>HYPERLINK("https://elefant.by/catalogue/639444652","Посмотреть на сайте ...")</f>
        <v>Посмотреть на сайте ...</v>
      </c>
    </row>
    <row r="113" spans="1:8" s="16" customFormat="1" x14ac:dyDescent="0.25">
      <c r="A113" s="17">
        <v>103</v>
      </c>
      <c r="B113" s="17" t="s">
        <v>13</v>
      </c>
      <c r="C113" s="17" t="s">
        <v>2951</v>
      </c>
      <c r="D113" s="18">
        <v>32</v>
      </c>
      <c r="E113" s="18">
        <v>0.68</v>
      </c>
      <c r="F113" s="18">
        <v>0.82</v>
      </c>
      <c r="G113" s="20" t="s">
        <v>4103</v>
      </c>
      <c r="H113" s="19" t="str">
        <f>HYPERLINK("https://elefant.by/catalogue/677923145","Посмотреть на сайте ...")</f>
        <v>Посмотреть на сайте ...</v>
      </c>
    </row>
    <row r="114" spans="1:8" s="16" customFormat="1" x14ac:dyDescent="0.25">
      <c r="A114" s="17">
        <v>104</v>
      </c>
      <c r="B114" s="17" t="s">
        <v>13</v>
      </c>
      <c r="C114" s="17" t="s">
        <v>2952</v>
      </c>
      <c r="D114" s="18">
        <v>20</v>
      </c>
      <c r="E114" s="18">
        <v>0.8</v>
      </c>
      <c r="F114" s="18">
        <v>0.96</v>
      </c>
      <c r="G114" s="20" t="s">
        <v>4104</v>
      </c>
      <c r="H114" s="19" t="str">
        <f>HYPERLINK("https://elefant.by/catalogue/684002731","Посмотреть на сайте ...")</f>
        <v>Посмотреть на сайте ...</v>
      </c>
    </row>
    <row r="115" spans="1:8" s="16" customFormat="1" x14ac:dyDescent="0.25">
      <c r="A115" s="17">
        <v>105</v>
      </c>
      <c r="B115" s="17" t="s">
        <v>13</v>
      </c>
      <c r="C115" s="17" t="s">
        <v>2953</v>
      </c>
      <c r="D115" s="18">
        <v>20</v>
      </c>
      <c r="E115" s="18">
        <v>0.8</v>
      </c>
      <c r="F115" s="18">
        <v>0.96</v>
      </c>
      <c r="G115" s="20" t="s">
        <v>4105</v>
      </c>
      <c r="H115" s="19" t="str">
        <f>HYPERLINK("https://elefant.by/catalogue/684002732","Посмотреть на сайте ...")</f>
        <v>Посмотреть на сайте ...</v>
      </c>
    </row>
    <row r="116" spans="1:8" s="16" customFormat="1" x14ac:dyDescent="0.25">
      <c r="A116" s="17">
        <v>106</v>
      </c>
      <c r="B116" s="17" t="s">
        <v>13</v>
      </c>
      <c r="C116" s="17" t="s">
        <v>2954</v>
      </c>
      <c r="D116" s="18">
        <v>16</v>
      </c>
      <c r="E116" s="18">
        <v>0.79</v>
      </c>
      <c r="F116" s="18">
        <v>0.95</v>
      </c>
      <c r="G116" s="20" t="s">
        <v>4106</v>
      </c>
      <c r="H116" s="19" t="str">
        <f>HYPERLINK("https://elefant.by/catalogue/571767424","Посмотреть на сайте ...")</f>
        <v>Посмотреть на сайте ...</v>
      </c>
    </row>
    <row r="117" spans="1:8" s="16" customFormat="1" x14ac:dyDescent="0.25">
      <c r="A117" s="17">
        <v>107</v>
      </c>
      <c r="B117" s="17" t="s">
        <v>2915</v>
      </c>
      <c r="C117" s="17" t="s">
        <v>2955</v>
      </c>
      <c r="D117" s="18">
        <v>48</v>
      </c>
      <c r="E117" s="18">
        <v>0.63</v>
      </c>
      <c r="F117" s="18">
        <v>0.76</v>
      </c>
      <c r="G117" s="20" t="s">
        <v>4107</v>
      </c>
      <c r="H117" s="19" t="str">
        <f>HYPERLINK("https://elefant.by/catalogue/651735931","Посмотреть на сайте ...")</f>
        <v>Посмотреть на сайте ...</v>
      </c>
    </row>
    <row r="118" spans="1:8" s="16" customFormat="1" x14ac:dyDescent="0.25">
      <c r="A118" s="17">
        <v>108</v>
      </c>
      <c r="B118" s="17" t="s">
        <v>2915</v>
      </c>
      <c r="C118" s="17" t="s">
        <v>2956</v>
      </c>
      <c r="D118" s="18">
        <v>24</v>
      </c>
      <c r="E118" s="18">
        <v>1.28</v>
      </c>
      <c r="F118" s="18">
        <v>1.54</v>
      </c>
      <c r="G118" s="20" t="s">
        <v>4108</v>
      </c>
      <c r="H118" s="19" t="str">
        <f>HYPERLINK("https://elefant.by/catalogue/691500142","Посмотреть на сайте ...")</f>
        <v>Посмотреть на сайте ...</v>
      </c>
    </row>
    <row r="119" spans="1:8" s="16" customFormat="1" x14ac:dyDescent="0.25">
      <c r="A119" s="17">
        <v>109</v>
      </c>
      <c r="B119" s="17" t="s">
        <v>2915</v>
      </c>
      <c r="C119" s="17" t="s">
        <v>2957</v>
      </c>
      <c r="D119" s="18">
        <v>24</v>
      </c>
      <c r="E119" s="18">
        <v>1.28</v>
      </c>
      <c r="F119" s="18">
        <v>1.54</v>
      </c>
      <c r="G119" s="20" t="s">
        <v>4109</v>
      </c>
      <c r="H119" s="19" t="str">
        <f>HYPERLINK("https://elefant.by/catalogue/685582584","Посмотреть на сайте ...")</f>
        <v>Посмотреть на сайте ...</v>
      </c>
    </row>
    <row r="120" spans="1:8" s="16" customFormat="1" x14ac:dyDescent="0.25">
      <c r="A120" s="17">
        <v>110</v>
      </c>
      <c r="B120" s="17" t="s">
        <v>2915</v>
      </c>
      <c r="C120" s="17" t="s">
        <v>2958</v>
      </c>
      <c r="D120" s="18">
        <v>24</v>
      </c>
      <c r="E120" s="18">
        <v>1.28</v>
      </c>
      <c r="F120" s="18">
        <v>1.54</v>
      </c>
      <c r="G120" s="20" t="s">
        <v>4110</v>
      </c>
      <c r="H120" s="19" t="str">
        <f>HYPERLINK("https://elefant.by/catalogue/673626717","Посмотреть на сайте ...")</f>
        <v>Посмотреть на сайте ...</v>
      </c>
    </row>
    <row r="121" spans="1:8" s="16" customFormat="1" x14ac:dyDescent="0.25">
      <c r="A121" s="17">
        <v>111</v>
      </c>
      <c r="B121" s="17" t="s">
        <v>2915</v>
      </c>
      <c r="C121" s="17" t="s">
        <v>2959</v>
      </c>
      <c r="D121" s="18">
        <v>24</v>
      </c>
      <c r="E121" s="18">
        <v>1.28</v>
      </c>
      <c r="F121" s="18">
        <v>1.54</v>
      </c>
      <c r="G121" s="20" t="s">
        <v>4111</v>
      </c>
      <c r="H121" s="19" t="str">
        <f>HYPERLINK("https://elefant.by/catalogue/665871561","Посмотреть на сайте ...")</f>
        <v>Посмотреть на сайте ...</v>
      </c>
    </row>
    <row r="122" spans="1:8" s="16" customFormat="1" x14ac:dyDescent="0.25">
      <c r="A122" s="17">
        <v>112</v>
      </c>
      <c r="B122" s="17" t="s">
        <v>2915</v>
      </c>
      <c r="C122" s="17" t="s">
        <v>2960</v>
      </c>
      <c r="D122" s="18">
        <v>24</v>
      </c>
      <c r="E122" s="18">
        <v>1.28</v>
      </c>
      <c r="F122" s="18">
        <v>1.54</v>
      </c>
      <c r="G122" s="20" t="s">
        <v>4112</v>
      </c>
      <c r="H122" s="19" t="str">
        <f>HYPERLINK("https://elefant.by/catalogue/665871560","Посмотреть на сайте ...")</f>
        <v>Посмотреть на сайте ...</v>
      </c>
    </row>
    <row r="123" spans="1:8" s="16" customFormat="1" x14ac:dyDescent="0.25">
      <c r="A123" s="17">
        <v>113</v>
      </c>
      <c r="B123" s="17" t="s">
        <v>2915</v>
      </c>
      <c r="C123" s="17" t="s">
        <v>2961</v>
      </c>
      <c r="D123" s="18">
        <v>24</v>
      </c>
      <c r="E123" s="18">
        <v>1.28</v>
      </c>
      <c r="F123" s="18">
        <v>1.54</v>
      </c>
      <c r="G123" s="20" t="s">
        <v>4113</v>
      </c>
      <c r="H123" s="19" t="str">
        <f>HYPERLINK("https://elefant.by/catalogue/665871559","Посмотреть на сайте ...")</f>
        <v>Посмотреть на сайте ...</v>
      </c>
    </row>
    <row r="124" spans="1:8" s="16" customFormat="1" x14ac:dyDescent="0.25">
      <c r="A124" s="17">
        <v>114</v>
      </c>
      <c r="B124" s="17" t="s">
        <v>2915</v>
      </c>
      <c r="C124" s="17" t="s">
        <v>2962</v>
      </c>
      <c r="D124" s="18">
        <v>40</v>
      </c>
      <c r="E124" s="18">
        <v>3.15</v>
      </c>
      <c r="F124" s="18">
        <v>3.78</v>
      </c>
      <c r="G124" s="20" t="s">
        <v>4114</v>
      </c>
      <c r="H124" s="19" t="str">
        <f>HYPERLINK("https://elefant.by/catalogue/694939399","Посмотреть на сайте ...")</f>
        <v>Посмотреть на сайте ...</v>
      </c>
    </row>
    <row r="125" spans="1:8" s="16" customFormat="1" x14ac:dyDescent="0.25">
      <c r="A125" s="17">
        <v>115</v>
      </c>
      <c r="B125" s="17" t="s">
        <v>13</v>
      </c>
      <c r="C125" s="17" t="s">
        <v>2963</v>
      </c>
      <c r="D125" s="18">
        <v>30</v>
      </c>
      <c r="E125" s="18">
        <v>0.31</v>
      </c>
      <c r="F125" s="18">
        <v>0.37</v>
      </c>
      <c r="G125" s="20" t="s">
        <v>4115</v>
      </c>
      <c r="H125" s="19" t="str">
        <f>HYPERLINK("https://elefant.by/catalogue/635163038","Посмотреть на сайте ...")</f>
        <v>Посмотреть на сайте ...</v>
      </c>
    </row>
    <row r="126" spans="1:8" s="16" customFormat="1" x14ac:dyDescent="0.25">
      <c r="A126" s="17">
        <v>116</v>
      </c>
      <c r="B126" s="17" t="s">
        <v>2915</v>
      </c>
      <c r="C126" s="17" t="s">
        <v>2964</v>
      </c>
      <c r="D126" s="18">
        <v>50</v>
      </c>
      <c r="E126" s="18">
        <v>0.28999999999999998</v>
      </c>
      <c r="F126" s="18">
        <v>0.35</v>
      </c>
      <c r="G126" s="20" t="s">
        <v>4116</v>
      </c>
      <c r="H126" s="19" t="str">
        <f>HYPERLINK("https://elefant.by/catalogue/656576330","Посмотреть на сайте ...")</f>
        <v>Посмотреть на сайте ...</v>
      </c>
    </row>
    <row r="127" spans="1:8" s="16" customFormat="1" x14ac:dyDescent="0.25">
      <c r="A127" s="17">
        <v>117</v>
      </c>
      <c r="B127" s="17" t="s">
        <v>2915</v>
      </c>
      <c r="C127" s="17" t="s">
        <v>2965</v>
      </c>
      <c r="D127" s="18">
        <v>50</v>
      </c>
      <c r="E127" s="18">
        <v>0.28999999999999998</v>
      </c>
      <c r="F127" s="18">
        <v>0.35</v>
      </c>
      <c r="G127" s="20" t="s">
        <v>4117</v>
      </c>
      <c r="H127" s="19" t="str">
        <f>HYPERLINK("https://elefant.by/catalogue/651735968","Посмотреть на сайте ...")</f>
        <v>Посмотреть на сайте ...</v>
      </c>
    </row>
    <row r="128" spans="1:8" s="16" customFormat="1" x14ac:dyDescent="0.25">
      <c r="A128" s="17">
        <v>118</v>
      </c>
      <c r="B128" s="17" t="s">
        <v>2915</v>
      </c>
      <c r="C128" s="17" t="s">
        <v>2966</v>
      </c>
      <c r="D128" s="18">
        <v>50</v>
      </c>
      <c r="E128" s="18">
        <v>0.28999999999999998</v>
      </c>
      <c r="F128" s="18">
        <v>0.35</v>
      </c>
      <c r="G128" s="20" t="s">
        <v>4118</v>
      </c>
      <c r="H128" s="19" t="str">
        <f>HYPERLINK("https://elefant.by/catalogue/656601494","Посмотреть на сайте ...")</f>
        <v>Посмотреть на сайте ...</v>
      </c>
    </row>
    <row r="129" spans="1:8" s="16" customFormat="1" x14ac:dyDescent="0.25">
      <c r="A129" s="17">
        <v>119</v>
      </c>
      <c r="B129" s="17" t="s">
        <v>13</v>
      </c>
      <c r="C129" s="17" t="s">
        <v>2967</v>
      </c>
      <c r="D129" s="18">
        <v>30</v>
      </c>
      <c r="E129" s="18">
        <v>0.31</v>
      </c>
      <c r="F129" s="18">
        <v>0.37</v>
      </c>
      <c r="G129" s="20" t="s">
        <v>4119</v>
      </c>
      <c r="H129" s="19" t="str">
        <f>HYPERLINK("https://elefant.by/catalogue/635163039","Посмотреть на сайте ...")</f>
        <v>Посмотреть на сайте ...</v>
      </c>
    </row>
    <row r="130" spans="1:8" s="16" customFormat="1" x14ac:dyDescent="0.25">
      <c r="A130" s="17">
        <v>120</v>
      </c>
      <c r="B130" s="17" t="s">
        <v>13</v>
      </c>
      <c r="C130" s="17" t="s">
        <v>2968</v>
      </c>
      <c r="D130" s="18">
        <v>30</v>
      </c>
      <c r="E130" s="18">
        <v>0.31</v>
      </c>
      <c r="F130" s="18">
        <v>0.37</v>
      </c>
      <c r="G130" s="20" t="s">
        <v>4120</v>
      </c>
      <c r="H130" s="19" t="str">
        <f>HYPERLINK("https://elefant.by/catalogue/658194863","Посмотреть на сайте ...")</f>
        <v>Посмотреть на сайте ...</v>
      </c>
    </row>
    <row r="131" spans="1:8" s="16" customFormat="1" x14ac:dyDescent="0.25">
      <c r="A131" s="17">
        <v>121</v>
      </c>
      <c r="B131" s="17" t="s">
        <v>2915</v>
      </c>
      <c r="C131" s="17" t="s">
        <v>2969</v>
      </c>
      <c r="D131" s="18">
        <v>50</v>
      </c>
      <c r="E131" s="18">
        <v>0.28999999999999998</v>
      </c>
      <c r="F131" s="18">
        <v>0.35</v>
      </c>
      <c r="G131" s="20" t="s">
        <v>4121</v>
      </c>
      <c r="H131" s="19" t="str">
        <f>HYPERLINK("https://elefant.by/catalogue/651735969","Посмотреть на сайте ...")</f>
        <v>Посмотреть на сайте ...</v>
      </c>
    </row>
    <row r="132" spans="1:8" s="16" customFormat="1" x14ac:dyDescent="0.25">
      <c r="A132" s="17">
        <v>122</v>
      </c>
      <c r="B132" s="17" t="s">
        <v>2915</v>
      </c>
      <c r="C132" s="17" t="s">
        <v>2970</v>
      </c>
      <c r="D132" s="18">
        <v>50</v>
      </c>
      <c r="E132" s="18">
        <v>0.28999999999999998</v>
      </c>
      <c r="F132" s="18">
        <v>0.35</v>
      </c>
      <c r="G132" s="20" t="s">
        <v>4122</v>
      </c>
      <c r="H132" s="19" t="str">
        <f>HYPERLINK("https://elefant.by/catalogue/656601497","Посмотреть на сайте ...")</f>
        <v>Посмотреть на сайте ...</v>
      </c>
    </row>
    <row r="133" spans="1:8" s="16" customFormat="1" x14ac:dyDescent="0.25">
      <c r="A133" s="17">
        <v>123</v>
      </c>
      <c r="B133" s="17" t="s">
        <v>2915</v>
      </c>
      <c r="C133" s="17" t="s">
        <v>2971</v>
      </c>
      <c r="D133" s="18">
        <v>50</v>
      </c>
      <c r="E133" s="18">
        <v>0.28000000000000003</v>
      </c>
      <c r="F133" s="18">
        <v>0.34</v>
      </c>
      <c r="G133" s="20" t="s">
        <v>4123</v>
      </c>
      <c r="H133" s="19" t="str">
        <f>HYPERLINK("https://elefant.by/catalogue/651735970","Посмотреть на сайте ...")</f>
        <v>Посмотреть на сайте ...</v>
      </c>
    </row>
    <row r="134" spans="1:8" s="16" customFormat="1" x14ac:dyDescent="0.25">
      <c r="A134" s="17">
        <v>124</v>
      </c>
      <c r="B134" s="17" t="s">
        <v>13</v>
      </c>
      <c r="C134" s="17" t="s">
        <v>2972</v>
      </c>
      <c r="D134" s="18">
        <v>30</v>
      </c>
      <c r="E134" s="18">
        <v>0.34</v>
      </c>
      <c r="F134" s="18">
        <v>0.41</v>
      </c>
      <c r="G134" s="20" t="s">
        <v>4124</v>
      </c>
      <c r="H134" s="19" t="str">
        <f>HYPERLINK("https://elefant.by/catalogue/603284609","Посмотреть на сайте ...")</f>
        <v>Посмотреть на сайте ...</v>
      </c>
    </row>
    <row r="135" spans="1:8" s="16" customFormat="1" x14ac:dyDescent="0.25">
      <c r="A135" s="17">
        <v>125</v>
      </c>
      <c r="B135" s="17" t="s">
        <v>13</v>
      </c>
      <c r="C135" s="17" t="s">
        <v>2973</v>
      </c>
      <c r="D135" s="18">
        <v>30</v>
      </c>
      <c r="E135" s="18">
        <v>0.34</v>
      </c>
      <c r="F135" s="18">
        <v>0.41</v>
      </c>
      <c r="G135" s="20" t="s">
        <v>4125</v>
      </c>
      <c r="H135" s="19" t="str">
        <f>HYPERLINK("https://elefant.by/catalogue/639444654","Посмотреть на сайте ...")</f>
        <v>Посмотреть на сайте ...</v>
      </c>
    </row>
    <row r="136" spans="1:8" s="16" customFormat="1" x14ac:dyDescent="0.25">
      <c r="A136" s="17">
        <v>126</v>
      </c>
      <c r="B136" s="17" t="s">
        <v>13</v>
      </c>
      <c r="C136" s="17" t="s">
        <v>2974</v>
      </c>
      <c r="D136" s="18">
        <v>30</v>
      </c>
      <c r="E136" s="18">
        <v>0.34</v>
      </c>
      <c r="F136" s="18">
        <v>0.41</v>
      </c>
      <c r="G136" s="20" t="s">
        <v>4126</v>
      </c>
      <c r="H136" s="19" t="str">
        <f>HYPERLINK("https://elefant.by/catalogue/603284610","Посмотреть на сайте ...")</f>
        <v>Посмотреть на сайте ...</v>
      </c>
    </row>
    <row r="137" spans="1:8" s="16" customFormat="1" x14ac:dyDescent="0.25">
      <c r="A137" s="17">
        <v>127</v>
      </c>
      <c r="B137" s="17" t="s">
        <v>132</v>
      </c>
      <c r="C137" s="17" t="s">
        <v>2975</v>
      </c>
      <c r="D137" s="18">
        <v>1</v>
      </c>
      <c r="E137" s="18">
        <v>7.13</v>
      </c>
      <c r="F137" s="18">
        <v>8.56</v>
      </c>
      <c r="G137" s="20" t="s">
        <v>4127</v>
      </c>
      <c r="H137" s="19" t="str">
        <f>HYPERLINK("https://elefant.by/catalogue/586760157","Посмотреть на сайте ...")</f>
        <v>Посмотреть на сайте ...</v>
      </c>
    </row>
    <row r="138" spans="1:8" s="16" customFormat="1" x14ac:dyDescent="0.25">
      <c r="A138" s="17">
        <v>128</v>
      </c>
      <c r="B138" s="17" t="s">
        <v>790</v>
      </c>
      <c r="C138" s="17" t="s">
        <v>2976</v>
      </c>
      <c r="D138" s="18">
        <v>1</v>
      </c>
      <c r="E138" s="18">
        <v>1.84</v>
      </c>
      <c r="F138" s="18">
        <v>2.21</v>
      </c>
      <c r="G138" s="20"/>
      <c r="H138" s="19" t="str">
        <f>HYPERLINK("https://elefant.by/catalogue/607357390","Посмотреть на сайте ...")</f>
        <v>Посмотреть на сайте ...</v>
      </c>
    </row>
    <row r="139" spans="1:8" s="16" customFormat="1" x14ac:dyDescent="0.25">
      <c r="A139" s="17">
        <v>129</v>
      </c>
      <c r="B139" s="17" t="s">
        <v>63</v>
      </c>
      <c r="C139" s="17" t="s">
        <v>115</v>
      </c>
      <c r="D139" s="18">
        <v>48</v>
      </c>
      <c r="E139" s="18">
        <v>0.1</v>
      </c>
      <c r="F139" s="18">
        <v>0.12</v>
      </c>
      <c r="G139" s="20" t="s">
        <v>116</v>
      </c>
      <c r="H139" s="19" t="str">
        <f>HYPERLINK("https://elefant.by/catalogue/510928017","Посмотреть на сайте ...")</f>
        <v>Посмотреть на сайте ...</v>
      </c>
    </row>
    <row r="140" spans="1:8" s="16" customFormat="1" x14ac:dyDescent="0.25">
      <c r="A140" s="17">
        <v>130</v>
      </c>
      <c r="B140" s="17" t="s">
        <v>20</v>
      </c>
      <c r="C140" s="17" t="s">
        <v>2977</v>
      </c>
      <c r="D140" s="18">
        <v>10</v>
      </c>
      <c r="E140" s="18">
        <v>1.2</v>
      </c>
      <c r="F140" s="18">
        <v>1.44</v>
      </c>
      <c r="G140" s="20" t="s">
        <v>4128</v>
      </c>
      <c r="H140" s="19" t="str">
        <f>HYPERLINK("https://elefant.by/catalogue/648237107","Посмотреть на сайте ...")</f>
        <v>Посмотреть на сайте ...</v>
      </c>
    </row>
    <row r="141" spans="1:8" s="16" customFormat="1" x14ac:dyDescent="0.25">
      <c r="A141" s="17">
        <v>131</v>
      </c>
      <c r="B141" s="17" t="s">
        <v>117</v>
      </c>
      <c r="C141" s="17" t="s">
        <v>118</v>
      </c>
      <c r="D141" s="18">
        <v>5</v>
      </c>
      <c r="E141" s="18">
        <v>7.01</v>
      </c>
      <c r="F141" s="18">
        <v>8.41</v>
      </c>
      <c r="G141" s="20" t="s">
        <v>119</v>
      </c>
      <c r="H141" s="19" t="str">
        <f>HYPERLINK("https://elefant.by/catalogue/161846876","Посмотреть на сайте ...")</f>
        <v>Посмотреть на сайте ...</v>
      </c>
    </row>
    <row r="142" spans="1:8" s="16" customFormat="1" x14ac:dyDescent="0.25">
      <c r="A142" s="17">
        <v>132</v>
      </c>
      <c r="B142" s="17" t="s">
        <v>117</v>
      </c>
      <c r="C142" s="17" t="s">
        <v>120</v>
      </c>
      <c r="D142" s="18">
        <v>5</v>
      </c>
      <c r="E142" s="18">
        <v>7.4</v>
      </c>
      <c r="F142" s="18">
        <v>8.8800000000000008</v>
      </c>
      <c r="G142" s="20" t="s">
        <v>121</v>
      </c>
      <c r="H142" s="19" t="str">
        <f>HYPERLINK("https://elefant.by/catalogue/161846877","Посмотреть на сайте ...")</f>
        <v>Посмотреть на сайте ...</v>
      </c>
    </row>
    <row r="143" spans="1:8" s="16" customFormat="1" x14ac:dyDescent="0.25">
      <c r="A143" s="17">
        <v>133</v>
      </c>
      <c r="B143" s="17" t="s">
        <v>117</v>
      </c>
      <c r="C143" s="17" t="s">
        <v>122</v>
      </c>
      <c r="D143" s="18">
        <v>5</v>
      </c>
      <c r="E143" s="18">
        <v>6.68</v>
      </c>
      <c r="F143" s="18">
        <v>8.02</v>
      </c>
      <c r="G143" s="20" t="s">
        <v>123</v>
      </c>
      <c r="H143" s="19" t="str">
        <f>HYPERLINK("https://elefant.by/catalogue/149342847","Посмотреть на сайте ...")</f>
        <v>Посмотреть на сайте ...</v>
      </c>
    </row>
    <row r="144" spans="1:8" s="16" customFormat="1" x14ac:dyDescent="0.25">
      <c r="A144" s="17">
        <v>134</v>
      </c>
      <c r="B144" s="17" t="s">
        <v>117</v>
      </c>
      <c r="C144" s="17" t="s">
        <v>124</v>
      </c>
      <c r="D144" s="18">
        <v>5</v>
      </c>
      <c r="E144" s="18">
        <v>6.89</v>
      </c>
      <c r="F144" s="18">
        <v>8.27</v>
      </c>
      <c r="G144" s="20" t="s">
        <v>125</v>
      </c>
      <c r="H144" s="19" t="str">
        <f>HYPERLINK("https://elefant.by/catalogue/149964716","Посмотреть на сайте ...")</f>
        <v>Посмотреть на сайте ...</v>
      </c>
    </row>
    <row r="145" spans="1:8" s="16" customFormat="1" x14ac:dyDescent="0.25">
      <c r="A145" s="17">
        <v>135</v>
      </c>
      <c r="B145" s="17" t="s">
        <v>126</v>
      </c>
      <c r="C145" s="17" t="s">
        <v>127</v>
      </c>
      <c r="D145" s="18">
        <v>5</v>
      </c>
      <c r="E145" s="18">
        <v>8.33</v>
      </c>
      <c r="F145" s="18">
        <v>10</v>
      </c>
      <c r="G145" s="20" t="s">
        <v>128</v>
      </c>
      <c r="H145" s="19" t="str">
        <f>HYPERLINK("https://elefant.by/catalogue/172734948","Посмотреть на сайте ...")</f>
        <v>Посмотреть на сайте ...</v>
      </c>
    </row>
    <row r="146" spans="1:8" s="16" customFormat="1" x14ac:dyDescent="0.25">
      <c r="A146" s="17">
        <v>136</v>
      </c>
      <c r="B146" s="17" t="s">
        <v>129</v>
      </c>
      <c r="C146" s="17" t="s">
        <v>130</v>
      </c>
      <c r="D146" s="18">
        <v>5</v>
      </c>
      <c r="E146" s="18">
        <v>14.18</v>
      </c>
      <c r="F146" s="18">
        <v>17.02</v>
      </c>
      <c r="G146" s="20" t="s">
        <v>131</v>
      </c>
      <c r="H146" s="19" t="str">
        <f>HYPERLINK("https://elefant.by/catalogue/197158061","Посмотреть на сайте ...")</f>
        <v>Посмотреть на сайте ...</v>
      </c>
    </row>
    <row r="147" spans="1:8" s="16" customFormat="1" x14ac:dyDescent="0.25">
      <c r="A147" s="17">
        <v>137</v>
      </c>
      <c r="B147" s="17" t="s">
        <v>129</v>
      </c>
      <c r="C147" s="17" t="s">
        <v>2978</v>
      </c>
      <c r="D147" s="18">
        <v>5</v>
      </c>
      <c r="E147" s="18">
        <v>17.77</v>
      </c>
      <c r="F147" s="18">
        <v>21.32</v>
      </c>
      <c r="G147" s="20" t="s">
        <v>4129</v>
      </c>
      <c r="H147" s="19" t="str">
        <f>HYPERLINK("https://elefant.by/catalogue/193336190","Посмотреть на сайте ...")</f>
        <v>Посмотреть на сайте ...</v>
      </c>
    </row>
    <row r="148" spans="1:8" s="16" customFormat="1" x14ac:dyDescent="0.25">
      <c r="A148" s="17">
        <v>138</v>
      </c>
      <c r="B148" s="17" t="s">
        <v>129</v>
      </c>
      <c r="C148" s="17" t="s">
        <v>133</v>
      </c>
      <c r="D148" s="18">
        <v>5</v>
      </c>
      <c r="E148" s="18">
        <v>8.02</v>
      </c>
      <c r="F148" s="18">
        <v>9.6199999999999992</v>
      </c>
      <c r="G148" s="20" t="s">
        <v>134</v>
      </c>
      <c r="H148" s="19" t="str">
        <f>HYPERLINK("https://elefant.by/catalogue/170693701","Посмотреть на сайте ...")</f>
        <v>Посмотреть на сайте ...</v>
      </c>
    </row>
    <row r="149" spans="1:8" s="16" customFormat="1" x14ac:dyDescent="0.25">
      <c r="A149" s="17">
        <v>139</v>
      </c>
      <c r="B149" s="17" t="s">
        <v>117</v>
      </c>
      <c r="C149" s="17" t="s">
        <v>135</v>
      </c>
      <c r="D149" s="18">
        <v>5</v>
      </c>
      <c r="E149" s="18">
        <v>6.56</v>
      </c>
      <c r="F149" s="18">
        <v>7.87</v>
      </c>
      <c r="G149" s="20" t="s">
        <v>136</v>
      </c>
      <c r="H149" s="19" t="str">
        <f>HYPERLINK("https://elefant.by/catalogue/148845878","Посмотреть на сайте ...")</f>
        <v>Посмотреть на сайте ...</v>
      </c>
    </row>
    <row r="150" spans="1:8" s="16" customFormat="1" x14ac:dyDescent="0.25">
      <c r="A150" s="17">
        <v>140</v>
      </c>
      <c r="B150" s="17" t="s">
        <v>137</v>
      </c>
      <c r="C150" s="17" t="s">
        <v>138</v>
      </c>
      <c r="D150" s="18">
        <v>5</v>
      </c>
      <c r="E150" s="18">
        <v>6.88</v>
      </c>
      <c r="F150" s="18">
        <v>8.26</v>
      </c>
      <c r="G150" s="20" t="s">
        <v>139</v>
      </c>
      <c r="H150" s="19" t="str">
        <f>HYPERLINK("https://elefant.by/catalogue/190754550","Посмотреть на сайте ...")</f>
        <v>Посмотреть на сайте ...</v>
      </c>
    </row>
    <row r="151" spans="1:8" s="16" customFormat="1" x14ac:dyDescent="0.25">
      <c r="A151" s="17">
        <v>141</v>
      </c>
      <c r="B151" s="17" t="s">
        <v>137</v>
      </c>
      <c r="C151" s="17" t="s">
        <v>140</v>
      </c>
      <c r="D151" s="18">
        <v>5</v>
      </c>
      <c r="E151" s="18">
        <v>6.38</v>
      </c>
      <c r="F151" s="18">
        <v>7.66</v>
      </c>
      <c r="G151" s="20" t="s">
        <v>141</v>
      </c>
      <c r="H151" s="19" t="str">
        <f>HYPERLINK("https://elefant.by/catalogue/190754551","Посмотреть на сайте ...")</f>
        <v>Посмотреть на сайте ...</v>
      </c>
    </row>
    <row r="152" spans="1:8" s="16" customFormat="1" x14ac:dyDescent="0.25">
      <c r="A152" s="17">
        <v>142</v>
      </c>
      <c r="B152" s="17" t="s">
        <v>117</v>
      </c>
      <c r="C152" s="17" t="s">
        <v>142</v>
      </c>
      <c r="D152" s="18">
        <v>5</v>
      </c>
      <c r="E152" s="18">
        <v>15.18</v>
      </c>
      <c r="F152" s="18">
        <v>18.22</v>
      </c>
      <c r="G152" s="20" t="s">
        <v>143</v>
      </c>
      <c r="H152" s="19" t="str">
        <f>HYPERLINK("https://elefant.by/catalogue/162150262","Посмотреть на сайте ...")</f>
        <v>Посмотреть на сайте ...</v>
      </c>
    </row>
    <row r="153" spans="1:8" s="16" customFormat="1" x14ac:dyDescent="0.25">
      <c r="A153" s="17">
        <v>143</v>
      </c>
      <c r="B153" s="17" t="s">
        <v>144</v>
      </c>
      <c r="C153" s="17" t="s">
        <v>145</v>
      </c>
      <c r="D153" s="18">
        <v>5</v>
      </c>
      <c r="E153" s="18">
        <v>24.09</v>
      </c>
      <c r="F153" s="18">
        <v>28.91</v>
      </c>
      <c r="G153" s="20" t="s">
        <v>146</v>
      </c>
      <c r="H153" s="19" t="str">
        <f>HYPERLINK("https://elefant.by/catalogue/372633694","Посмотреть на сайте ...")</f>
        <v>Посмотреть на сайте ...</v>
      </c>
    </row>
    <row r="154" spans="1:8" s="16" customFormat="1" x14ac:dyDescent="0.25">
      <c r="A154" s="17">
        <v>144</v>
      </c>
      <c r="B154" s="17" t="s">
        <v>144</v>
      </c>
      <c r="C154" s="17" t="s">
        <v>2979</v>
      </c>
      <c r="D154" s="18">
        <v>5</v>
      </c>
      <c r="E154" s="18">
        <v>30.47</v>
      </c>
      <c r="F154" s="18">
        <v>36.56</v>
      </c>
      <c r="G154" s="20" t="s">
        <v>4130</v>
      </c>
      <c r="H154" s="19" t="str">
        <f>HYPERLINK("https://elefant.by/catalogue/663962846","Посмотреть на сайте ...")</f>
        <v>Посмотреть на сайте ...</v>
      </c>
    </row>
    <row r="155" spans="1:8" s="16" customFormat="1" x14ac:dyDescent="0.25">
      <c r="A155" s="17">
        <v>145</v>
      </c>
      <c r="B155" s="17" t="s">
        <v>144</v>
      </c>
      <c r="C155" s="17" t="s">
        <v>147</v>
      </c>
      <c r="D155" s="18">
        <v>5</v>
      </c>
      <c r="E155" s="18">
        <v>20.37</v>
      </c>
      <c r="F155" s="18">
        <v>24.44</v>
      </c>
      <c r="G155" s="20" t="s">
        <v>148</v>
      </c>
      <c r="H155" s="19" t="str">
        <f>HYPERLINK("https://elefant.by/catalogue/349574137","Посмотреть на сайте ...")</f>
        <v>Посмотреть на сайте ...</v>
      </c>
    </row>
    <row r="156" spans="1:8" s="16" customFormat="1" x14ac:dyDescent="0.25">
      <c r="A156" s="17">
        <v>146</v>
      </c>
      <c r="B156" s="17" t="s">
        <v>144</v>
      </c>
      <c r="C156" s="17" t="s">
        <v>149</v>
      </c>
      <c r="D156" s="18">
        <v>5</v>
      </c>
      <c r="E156" s="18">
        <v>35.130000000000003</v>
      </c>
      <c r="F156" s="18">
        <v>42.16</v>
      </c>
      <c r="G156" s="20" t="s">
        <v>150</v>
      </c>
      <c r="H156" s="19" t="str">
        <f>HYPERLINK("https://elefant.by/catalogue/570378131","Посмотреть на сайте ...")</f>
        <v>Посмотреть на сайте ...</v>
      </c>
    </row>
    <row r="157" spans="1:8" s="16" customFormat="1" x14ac:dyDescent="0.25">
      <c r="A157" s="17">
        <v>147</v>
      </c>
      <c r="B157" s="17" t="s">
        <v>151</v>
      </c>
      <c r="C157" s="17" t="s">
        <v>152</v>
      </c>
      <c r="D157" s="18">
        <v>10</v>
      </c>
      <c r="E157" s="18">
        <v>3.39</v>
      </c>
      <c r="F157" s="18">
        <v>4.07</v>
      </c>
      <c r="G157" s="20" t="s">
        <v>153</v>
      </c>
      <c r="H157" s="19" t="str">
        <f>HYPERLINK("https://elefant.by/catalogue/530360636","Посмотреть на сайте ...")</f>
        <v>Посмотреть на сайте ...</v>
      </c>
    </row>
    <row r="158" spans="1:8" s="16" customFormat="1" x14ac:dyDescent="0.25">
      <c r="A158" s="17">
        <v>148</v>
      </c>
      <c r="B158" s="17" t="s">
        <v>12</v>
      </c>
      <c r="C158" s="17" t="s">
        <v>2980</v>
      </c>
      <c r="D158" s="18">
        <v>5</v>
      </c>
      <c r="E158" s="18">
        <v>2.96</v>
      </c>
      <c r="F158" s="18">
        <v>3.55</v>
      </c>
      <c r="G158" s="20" t="s">
        <v>4131</v>
      </c>
      <c r="H158" s="19" t="str">
        <f>HYPERLINK("https://elefant.by/catalogue/591783478","Посмотреть на сайте ...")</f>
        <v>Посмотреть на сайте ...</v>
      </c>
    </row>
    <row r="159" spans="1:8" s="16" customFormat="1" x14ac:dyDescent="0.25">
      <c r="A159" s="17">
        <v>149</v>
      </c>
      <c r="B159" s="17"/>
      <c r="C159" s="17" t="s">
        <v>2981</v>
      </c>
      <c r="D159" s="18">
        <v>1</v>
      </c>
      <c r="E159" s="18">
        <v>2.54</v>
      </c>
      <c r="F159" s="18">
        <v>3.05</v>
      </c>
      <c r="G159" s="20"/>
      <c r="H159" s="19" t="str">
        <f>HYPERLINK("https://elefant.by/catalogue/662867043","Посмотреть на сайте ...")</f>
        <v>Посмотреть на сайте ...</v>
      </c>
    </row>
    <row r="160" spans="1:8" s="16" customFormat="1" x14ac:dyDescent="0.25">
      <c r="A160" s="17">
        <v>150</v>
      </c>
      <c r="B160" s="17" t="s">
        <v>154</v>
      </c>
      <c r="C160" s="17" t="s">
        <v>155</v>
      </c>
      <c r="D160" s="18">
        <v>48</v>
      </c>
      <c r="E160" s="18">
        <v>1.47</v>
      </c>
      <c r="F160" s="18">
        <v>1.76</v>
      </c>
      <c r="G160" s="20" t="s">
        <v>156</v>
      </c>
      <c r="H160" s="19" t="str">
        <f>HYPERLINK("https://elefant.by/catalogue/213403208","Посмотреть на сайте ...")</f>
        <v>Посмотреть на сайте ...</v>
      </c>
    </row>
    <row r="161" spans="1:8" s="16" customFormat="1" x14ac:dyDescent="0.25">
      <c r="A161" s="17">
        <v>151</v>
      </c>
      <c r="B161" s="17" t="s">
        <v>158</v>
      </c>
      <c r="C161" s="17" t="s">
        <v>159</v>
      </c>
      <c r="D161" s="18">
        <v>48</v>
      </c>
      <c r="E161" s="18">
        <v>0.27</v>
      </c>
      <c r="F161" s="18">
        <v>0.32</v>
      </c>
      <c r="G161" s="20" t="s">
        <v>160</v>
      </c>
      <c r="H161" s="19" t="str">
        <f>HYPERLINK("https://elefant.by/catalogue/556044963","Посмотреть на сайте ...")</f>
        <v>Посмотреть на сайте ...</v>
      </c>
    </row>
    <row r="162" spans="1:8" s="16" customFormat="1" x14ac:dyDescent="0.25">
      <c r="A162" s="17">
        <v>152</v>
      </c>
      <c r="B162" s="17" t="s">
        <v>158</v>
      </c>
      <c r="C162" s="17" t="s">
        <v>161</v>
      </c>
      <c r="D162" s="18">
        <v>30</v>
      </c>
      <c r="E162" s="18">
        <v>0.31</v>
      </c>
      <c r="F162" s="18">
        <v>0.37</v>
      </c>
      <c r="G162" s="20" t="s">
        <v>162</v>
      </c>
      <c r="H162" s="19" t="str">
        <f>HYPERLINK("https://elefant.by/catalogue/551719231","Посмотреть на сайте ...")</f>
        <v>Посмотреть на сайте ...</v>
      </c>
    </row>
    <row r="163" spans="1:8" s="16" customFormat="1" x14ac:dyDescent="0.25">
      <c r="A163" s="17">
        <v>153</v>
      </c>
      <c r="B163" s="17" t="s">
        <v>158</v>
      </c>
      <c r="C163" s="17" t="s">
        <v>163</v>
      </c>
      <c r="D163" s="18">
        <v>4</v>
      </c>
      <c r="E163" s="18">
        <v>1.9</v>
      </c>
      <c r="F163" s="18">
        <v>2.2799999999999998</v>
      </c>
      <c r="G163" s="20" t="s">
        <v>164</v>
      </c>
      <c r="H163" s="19" t="str">
        <f>HYPERLINK("https://elefant.by/catalogue/523072561","Посмотреть на сайте ...")</f>
        <v>Посмотреть на сайте ...</v>
      </c>
    </row>
    <row r="164" spans="1:8" s="16" customFormat="1" x14ac:dyDescent="0.25">
      <c r="A164" s="17">
        <v>154</v>
      </c>
      <c r="B164" s="17" t="s">
        <v>20</v>
      </c>
      <c r="C164" s="17" t="s">
        <v>2982</v>
      </c>
      <c r="D164" s="18">
        <v>20</v>
      </c>
      <c r="E164" s="18">
        <v>3.22</v>
      </c>
      <c r="F164" s="18">
        <v>3.86</v>
      </c>
      <c r="G164" s="20" t="s">
        <v>4132</v>
      </c>
      <c r="H164" s="19" t="str">
        <f>HYPERLINK("https://elefant.by/catalogue/434133621","Посмотреть на сайте ...")</f>
        <v>Посмотреть на сайте ...</v>
      </c>
    </row>
    <row r="165" spans="1:8" s="16" customFormat="1" x14ac:dyDescent="0.25">
      <c r="A165" s="17">
        <v>155</v>
      </c>
      <c r="B165" s="17" t="s">
        <v>20</v>
      </c>
      <c r="C165" s="17" t="s">
        <v>165</v>
      </c>
      <c r="D165" s="18">
        <v>20</v>
      </c>
      <c r="E165" s="18">
        <v>3.22</v>
      </c>
      <c r="F165" s="18">
        <v>3.86</v>
      </c>
      <c r="G165" s="20" t="s">
        <v>166</v>
      </c>
      <c r="H165" s="19" t="str">
        <f>HYPERLINK("https://elefant.by/catalogue/434133622","Посмотреть на сайте ...")</f>
        <v>Посмотреть на сайте ...</v>
      </c>
    </row>
    <row r="166" spans="1:8" s="16" customFormat="1" x14ac:dyDescent="0.25">
      <c r="A166" s="17">
        <v>156</v>
      </c>
      <c r="B166" s="17" t="s">
        <v>20</v>
      </c>
      <c r="C166" s="17" t="s">
        <v>167</v>
      </c>
      <c r="D166" s="18">
        <v>20</v>
      </c>
      <c r="E166" s="18">
        <v>3.22</v>
      </c>
      <c r="F166" s="18">
        <v>3.86</v>
      </c>
      <c r="G166" s="20" t="s">
        <v>168</v>
      </c>
      <c r="H166" s="19" t="str">
        <f>HYPERLINK("https://elefant.by/catalogue/434133623","Посмотреть на сайте ...")</f>
        <v>Посмотреть на сайте ...</v>
      </c>
    </row>
    <row r="167" spans="1:8" s="16" customFormat="1" x14ac:dyDescent="0.25">
      <c r="A167" s="17">
        <v>157</v>
      </c>
      <c r="B167" s="17" t="s">
        <v>20</v>
      </c>
      <c r="C167" s="17" t="s">
        <v>169</v>
      </c>
      <c r="D167" s="18">
        <v>20</v>
      </c>
      <c r="E167" s="18">
        <v>3.22</v>
      </c>
      <c r="F167" s="18">
        <v>3.86</v>
      </c>
      <c r="G167" s="20" t="s">
        <v>170</v>
      </c>
      <c r="H167" s="19" t="str">
        <f>HYPERLINK("https://elefant.by/catalogue/434133624","Посмотреть на сайте ...")</f>
        <v>Посмотреть на сайте ...</v>
      </c>
    </row>
    <row r="168" spans="1:8" s="16" customFormat="1" x14ac:dyDescent="0.25">
      <c r="A168" s="17">
        <v>158</v>
      </c>
      <c r="B168" s="17" t="s">
        <v>20</v>
      </c>
      <c r="C168" s="17" t="s">
        <v>2983</v>
      </c>
      <c r="D168" s="18">
        <v>20</v>
      </c>
      <c r="E168" s="18">
        <v>3.22</v>
      </c>
      <c r="F168" s="18">
        <v>3.86</v>
      </c>
      <c r="G168" s="20" t="s">
        <v>4133</v>
      </c>
      <c r="H168" s="19" t="str">
        <f>HYPERLINK("https://elefant.by/catalogue/434133625","Посмотреть на сайте ...")</f>
        <v>Посмотреть на сайте ...</v>
      </c>
    </row>
    <row r="169" spans="1:8" s="16" customFormat="1" x14ac:dyDescent="0.25">
      <c r="A169" s="17">
        <v>159</v>
      </c>
      <c r="B169" s="17" t="s">
        <v>20</v>
      </c>
      <c r="C169" s="17" t="s">
        <v>2984</v>
      </c>
      <c r="D169" s="18">
        <v>2</v>
      </c>
      <c r="E169" s="18">
        <v>3.93</v>
      </c>
      <c r="F169" s="18">
        <v>4.72</v>
      </c>
      <c r="G169" s="20" t="s">
        <v>4134</v>
      </c>
      <c r="H169" s="19" t="str">
        <f>HYPERLINK("https://elefant.by/catalogue/649280517","Посмотреть на сайте ...")</f>
        <v>Посмотреть на сайте ...</v>
      </c>
    </row>
    <row r="170" spans="1:8" s="16" customFormat="1" x14ac:dyDescent="0.25">
      <c r="A170" s="17">
        <v>160</v>
      </c>
      <c r="B170" s="17" t="s">
        <v>20</v>
      </c>
      <c r="C170" s="17" t="s">
        <v>2985</v>
      </c>
      <c r="D170" s="18">
        <v>2</v>
      </c>
      <c r="E170" s="18">
        <v>3.93</v>
      </c>
      <c r="F170" s="18">
        <v>4.72</v>
      </c>
      <c r="G170" s="20" t="s">
        <v>4135</v>
      </c>
      <c r="H170" s="19" t="str">
        <f>HYPERLINK("https://elefant.by/catalogue/649280518","Посмотреть на сайте ...")</f>
        <v>Посмотреть на сайте ...</v>
      </c>
    </row>
    <row r="171" spans="1:8" s="16" customFormat="1" x14ac:dyDescent="0.25">
      <c r="A171" s="17">
        <v>161</v>
      </c>
      <c r="B171" s="17" t="s">
        <v>20</v>
      </c>
      <c r="C171" s="17" t="s">
        <v>171</v>
      </c>
      <c r="D171" s="18">
        <v>20</v>
      </c>
      <c r="E171" s="18">
        <v>2.44</v>
      </c>
      <c r="F171" s="18">
        <v>2.93</v>
      </c>
      <c r="G171" s="20" t="s">
        <v>172</v>
      </c>
      <c r="H171" s="19" t="str">
        <f>HYPERLINK("https://elefant.by/catalogue/434133628","Посмотреть на сайте ...")</f>
        <v>Посмотреть на сайте ...</v>
      </c>
    </row>
    <row r="172" spans="1:8" s="16" customFormat="1" x14ac:dyDescent="0.25">
      <c r="A172" s="17">
        <v>162</v>
      </c>
      <c r="B172" s="17" t="s">
        <v>20</v>
      </c>
      <c r="C172" s="17" t="s">
        <v>173</v>
      </c>
      <c r="D172" s="18">
        <v>20</v>
      </c>
      <c r="E172" s="18">
        <v>2.44</v>
      </c>
      <c r="F172" s="18">
        <v>2.93</v>
      </c>
      <c r="G172" s="20" t="s">
        <v>174</v>
      </c>
      <c r="H172" s="19" t="str">
        <f>HYPERLINK("https://elefant.by/catalogue/434133629","Посмотреть на сайте ...")</f>
        <v>Посмотреть на сайте ...</v>
      </c>
    </row>
    <row r="173" spans="1:8" s="16" customFormat="1" x14ac:dyDescent="0.25">
      <c r="A173" s="17">
        <v>163</v>
      </c>
      <c r="B173" s="17" t="s">
        <v>20</v>
      </c>
      <c r="C173" s="17" t="s">
        <v>175</v>
      </c>
      <c r="D173" s="18">
        <v>20</v>
      </c>
      <c r="E173" s="18">
        <v>2.44</v>
      </c>
      <c r="F173" s="18">
        <v>2.93</v>
      </c>
      <c r="G173" s="20" t="s">
        <v>176</v>
      </c>
      <c r="H173" s="19" t="str">
        <f>HYPERLINK("https://elefant.by/catalogue/434133630","Посмотреть на сайте ...")</f>
        <v>Посмотреть на сайте ...</v>
      </c>
    </row>
    <row r="174" spans="1:8" s="16" customFormat="1" x14ac:dyDescent="0.25">
      <c r="A174" s="17">
        <v>164</v>
      </c>
      <c r="B174" s="17" t="s">
        <v>20</v>
      </c>
      <c r="C174" s="17" t="s">
        <v>177</v>
      </c>
      <c r="D174" s="18">
        <v>20</v>
      </c>
      <c r="E174" s="18">
        <v>2.44</v>
      </c>
      <c r="F174" s="18">
        <v>2.93</v>
      </c>
      <c r="G174" s="20" t="s">
        <v>178</v>
      </c>
      <c r="H174" s="19" t="str">
        <f>HYPERLINK("https://elefant.by/catalogue/434133631","Посмотреть на сайте ...")</f>
        <v>Посмотреть на сайте ...</v>
      </c>
    </row>
    <row r="175" spans="1:8" s="16" customFormat="1" x14ac:dyDescent="0.25">
      <c r="A175" s="17">
        <v>165</v>
      </c>
      <c r="B175" s="17" t="s">
        <v>12</v>
      </c>
      <c r="C175" s="17" t="s">
        <v>2987</v>
      </c>
      <c r="D175" s="18">
        <v>20</v>
      </c>
      <c r="E175" s="18">
        <v>4.59</v>
      </c>
      <c r="F175" s="18">
        <v>5.51</v>
      </c>
      <c r="G175" s="20" t="s">
        <v>4137</v>
      </c>
      <c r="H175" s="19" t="str">
        <f>HYPERLINK("https://elefant.by/catalogue/683024299","Посмотреть на сайте ...")</f>
        <v>Посмотреть на сайте ...</v>
      </c>
    </row>
    <row r="176" spans="1:8" s="16" customFormat="1" x14ac:dyDescent="0.25">
      <c r="A176" s="17">
        <v>166</v>
      </c>
      <c r="B176" s="17" t="s">
        <v>12</v>
      </c>
      <c r="C176" s="17" t="s">
        <v>2988</v>
      </c>
      <c r="D176" s="18">
        <v>20</v>
      </c>
      <c r="E176" s="18">
        <v>5.79</v>
      </c>
      <c r="F176" s="18">
        <v>6.95</v>
      </c>
      <c r="G176" s="20" t="s">
        <v>4138</v>
      </c>
      <c r="H176" s="19" t="str">
        <f>HYPERLINK("https://elefant.by/catalogue/591876256","Посмотреть на сайте ...")</f>
        <v>Посмотреть на сайте ...</v>
      </c>
    </row>
    <row r="177" spans="1:8" s="16" customFormat="1" x14ac:dyDescent="0.25">
      <c r="A177" s="17">
        <v>167</v>
      </c>
      <c r="B177" s="17" t="s">
        <v>20</v>
      </c>
      <c r="C177" s="17" t="s">
        <v>2986</v>
      </c>
      <c r="D177" s="18">
        <v>20</v>
      </c>
      <c r="E177" s="18">
        <v>5.95</v>
      </c>
      <c r="F177" s="18">
        <v>7.14</v>
      </c>
      <c r="G177" s="20" t="s">
        <v>4136</v>
      </c>
      <c r="H177" s="19" t="str">
        <f>HYPERLINK("https://elefant.by/catalogue/434133620","Посмотреть на сайте ...")</f>
        <v>Посмотреть на сайте ...</v>
      </c>
    </row>
    <row r="178" spans="1:8" s="16" customFormat="1" x14ac:dyDescent="0.25">
      <c r="A178" s="17">
        <v>168</v>
      </c>
      <c r="B178" s="17" t="s">
        <v>12</v>
      </c>
      <c r="C178" s="17" t="s">
        <v>179</v>
      </c>
      <c r="D178" s="18">
        <v>8</v>
      </c>
      <c r="E178" s="18">
        <v>7.97</v>
      </c>
      <c r="F178" s="18">
        <v>9.56</v>
      </c>
      <c r="G178" s="20" t="s">
        <v>180</v>
      </c>
      <c r="H178" s="19" t="str">
        <f>HYPERLINK("https://elefant.by/catalogue/593473597","Посмотреть на сайте ...")</f>
        <v>Посмотреть на сайте ...</v>
      </c>
    </row>
    <row r="179" spans="1:8" s="16" customFormat="1" x14ac:dyDescent="0.25">
      <c r="A179" s="17">
        <v>169</v>
      </c>
      <c r="B179" s="17" t="s">
        <v>12</v>
      </c>
      <c r="C179" s="17" t="s">
        <v>191</v>
      </c>
      <c r="D179" s="18">
        <v>20</v>
      </c>
      <c r="E179" s="18">
        <v>16.420000000000002</v>
      </c>
      <c r="F179" s="18">
        <v>19.7</v>
      </c>
      <c r="G179" s="20" t="s">
        <v>192</v>
      </c>
      <c r="H179" s="19" t="str">
        <f>HYPERLINK("https://elefant.by/catalogue/591783480","Посмотреть на сайте ...")</f>
        <v>Посмотреть на сайте ...</v>
      </c>
    </row>
    <row r="180" spans="1:8" s="16" customFormat="1" x14ac:dyDescent="0.25">
      <c r="A180" s="17">
        <v>170</v>
      </c>
      <c r="B180" s="17" t="s">
        <v>181</v>
      </c>
      <c r="C180" s="17" t="s">
        <v>182</v>
      </c>
      <c r="D180" s="18">
        <v>5</v>
      </c>
      <c r="E180" s="18">
        <v>25.83</v>
      </c>
      <c r="F180" s="18">
        <v>31</v>
      </c>
      <c r="G180" s="20" t="s">
        <v>183</v>
      </c>
      <c r="H180" s="19" t="str">
        <f>HYPERLINK("https://elefant.by/catalogue/505983287","Посмотреть на сайте ...")</f>
        <v>Посмотреть на сайте ...</v>
      </c>
    </row>
    <row r="181" spans="1:8" s="16" customFormat="1" x14ac:dyDescent="0.25">
      <c r="A181" s="17">
        <v>171</v>
      </c>
      <c r="B181" s="17" t="s">
        <v>181</v>
      </c>
      <c r="C181" s="17" t="s">
        <v>184</v>
      </c>
      <c r="D181" s="18">
        <v>5</v>
      </c>
      <c r="E181" s="18">
        <v>25.83</v>
      </c>
      <c r="F181" s="18">
        <v>31</v>
      </c>
      <c r="G181" s="20" t="s">
        <v>185</v>
      </c>
      <c r="H181" s="19" t="str">
        <f>HYPERLINK("https://elefant.by/catalogue/505983288","Посмотреть на сайте ...")</f>
        <v>Посмотреть на сайте ...</v>
      </c>
    </row>
    <row r="182" spans="1:8" s="16" customFormat="1" x14ac:dyDescent="0.25">
      <c r="A182" s="17">
        <v>172</v>
      </c>
      <c r="B182" s="17" t="s">
        <v>181</v>
      </c>
      <c r="C182" s="17" t="s">
        <v>186</v>
      </c>
      <c r="D182" s="18">
        <v>5</v>
      </c>
      <c r="E182" s="18">
        <v>26.18</v>
      </c>
      <c r="F182" s="18">
        <v>31.42</v>
      </c>
      <c r="G182" s="20" t="s">
        <v>187</v>
      </c>
      <c r="H182" s="19" t="str">
        <f>HYPERLINK("https://elefant.by/catalogue/571767426","Посмотреть на сайте ...")</f>
        <v>Посмотреть на сайте ...</v>
      </c>
    </row>
    <row r="183" spans="1:8" s="16" customFormat="1" x14ac:dyDescent="0.25">
      <c r="A183" s="17">
        <v>173</v>
      </c>
      <c r="B183" s="17" t="s">
        <v>181</v>
      </c>
      <c r="C183" s="17" t="s">
        <v>188</v>
      </c>
      <c r="D183" s="18">
        <v>5</v>
      </c>
      <c r="E183" s="18">
        <v>26.18</v>
      </c>
      <c r="F183" s="18">
        <v>31.42</v>
      </c>
      <c r="G183" s="20" t="s">
        <v>189</v>
      </c>
      <c r="H183" s="19" t="str">
        <f>HYPERLINK("https://elefant.by/catalogue/535646784","Посмотреть на сайте ...")</f>
        <v>Посмотреть на сайте ...</v>
      </c>
    </row>
    <row r="184" spans="1:8" s="16" customFormat="1" x14ac:dyDescent="0.25">
      <c r="A184" s="17">
        <v>174</v>
      </c>
      <c r="B184" s="17" t="s">
        <v>181</v>
      </c>
      <c r="C184" s="17" t="s">
        <v>2989</v>
      </c>
      <c r="D184" s="18">
        <v>5</v>
      </c>
      <c r="E184" s="18">
        <v>22.32</v>
      </c>
      <c r="F184" s="18">
        <v>26.78</v>
      </c>
      <c r="G184" s="20" t="s">
        <v>4139</v>
      </c>
      <c r="H184" s="19" t="str">
        <f>HYPERLINK("https://elefant.by/catalogue/680016446","Посмотреть на сайте ...")</f>
        <v>Посмотреть на сайте ...</v>
      </c>
    </row>
    <row r="185" spans="1:8" s="16" customFormat="1" x14ac:dyDescent="0.25">
      <c r="A185" s="17">
        <v>175</v>
      </c>
      <c r="B185" s="17" t="s">
        <v>181</v>
      </c>
      <c r="C185" s="17" t="s">
        <v>2990</v>
      </c>
      <c r="D185" s="18">
        <v>5</v>
      </c>
      <c r="E185" s="18">
        <v>24.05</v>
      </c>
      <c r="F185" s="18">
        <v>28.86</v>
      </c>
      <c r="G185" s="20" t="s">
        <v>4140</v>
      </c>
      <c r="H185" s="19" t="str">
        <f>HYPERLINK("https://elefant.by/catalogue/656880870","Посмотреть на сайте ...")</f>
        <v>Посмотреть на сайте ...</v>
      </c>
    </row>
    <row r="186" spans="1:8" s="16" customFormat="1" x14ac:dyDescent="0.25">
      <c r="A186" s="17">
        <v>176</v>
      </c>
      <c r="B186" s="17" t="s">
        <v>190</v>
      </c>
      <c r="C186" s="17" t="s">
        <v>2991</v>
      </c>
      <c r="D186" s="18">
        <v>5</v>
      </c>
      <c r="E186" s="18">
        <v>45.72</v>
      </c>
      <c r="F186" s="18">
        <v>54.86</v>
      </c>
      <c r="G186" s="20" t="s">
        <v>4141</v>
      </c>
      <c r="H186" s="19" t="str">
        <f>HYPERLINK("https://elefant.by/catalogue/387905951","Посмотреть на сайте ...")</f>
        <v>Посмотреть на сайте ...</v>
      </c>
    </row>
    <row r="187" spans="1:8" s="16" customFormat="1" x14ac:dyDescent="0.25">
      <c r="A187" s="17">
        <v>177</v>
      </c>
      <c r="B187" s="17" t="s">
        <v>2992</v>
      </c>
      <c r="C187" s="17" t="s">
        <v>2993</v>
      </c>
      <c r="D187" s="18">
        <v>100</v>
      </c>
      <c r="E187" s="18">
        <v>0.6</v>
      </c>
      <c r="F187" s="18">
        <v>0.72</v>
      </c>
      <c r="G187" s="20" t="s">
        <v>4142</v>
      </c>
      <c r="H187" s="19" t="str">
        <f>HYPERLINK("https://elefant.by/catalogue/162241719","Посмотреть на сайте ...")</f>
        <v>Посмотреть на сайте ...</v>
      </c>
    </row>
    <row r="188" spans="1:8" s="16" customFormat="1" x14ac:dyDescent="0.25">
      <c r="A188" s="17">
        <v>178</v>
      </c>
      <c r="B188" s="17" t="s">
        <v>2992</v>
      </c>
      <c r="C188" s="17" t="s">
        <v>2994</v>
      </c>
      <c r="D188" s="18">
        <v>300</v>
      </c>
      <c r="E188" s="18">
        <v>0.59</v>
      </c>
      <c r="F188" s="18">
        <v>0.71</v>
      </c>
      <c r="G188" s="20" t="s">
        <v>4143</v>
      </c>
      <c r="H188" s="19" t="str">
        <f>HYPERLINK("https://elefant.by/catalogue/147114881","Посмотреть на сайте ...")</f>
        <v>Посмотреть на сайте ...</v>
      </c>
    </row>
    <row r="189" spans="1:8" s="16" customFormat="1" x14ac:dyDescent="0.25">
      <c r="A189" s="17">
        <v>179</v>
      </c>
      <c r="B189" s="17" t="s">
        <v>2992</v>
      </c>
      <c r="C189" s="17" t="s">
        <v>2995</v>
      </c>
      <c r="D189" s="18">
        <v>100</v>
      </c>
      <c r="E189" s="18">
        <v>0.41</v>
      </c>
      <c r="F189" s="18">
        <v>0.49</v>
      </c>
      <c r="G189" s="20" t="s">
        <v>4144</v>
      </c>
      <c r="H189" s="19" t="str">
        <f>HYPERLINK("https://elefant.by/catalogue/147114883","Посмотреть на сайте ...")</f>
        <v>Посмотреть на сайте ...</v>
      </c>
    </row>
    <row r="190" spans="1:8" s="16" customFormat="1" x14ac:dyDescent="0.25">
      <c r="A190" s="17">
        <v>180</v>
      </c>
      <c r="B190" s="17" t="s">
        <v>2992</v>
      </c>
      <c r="C190" s="17" t="s">
        <v>2996</v>
      </c>
      <c r="D190" s="18">
        <v>100</v>
      </c>
      <c r="E190" s="18">
        <v>0.2</v>
      </c>
      <c r="F190" s="18">
        <v>0.24</v>
      </c>
      <c r="G190" s="20" t="s">
        <v>4145</v>
      </c>
      <c r="H190" s="19" t="str">
        <f>HYPERLINK("https://elefant.by/catalogue/147115008","Посмотреть на сайте ...")</f>
        <v>Посмотреть на сайте ...</v>
      </c>
    </row>
    <row r="191" spans="1:8" s="16" customFormat="1" x14ac:dyDescent="0.25">
      <c r="A191" s="17">
        <v>181</v>
      </c>
      <c r="B191" s="17" t="s">
        <v>2992</v>
      </c>
      <c r="C191" s="17" t="s">
        <v>2997</v>
      </c>
      <c r="D191" s="18">
        <v>100</v>
      </c>
      <c r="E191" s="18">
        <v>0.11</v>
      </c>
      <c r="F191" s="18">
        <v>0.13</v>
      </c>
      <c r="G191" s="20" t="s">
        <v>4146</v>
      </c>
      <c r="H191" s="19" t="str">
        <f>HYPERLINK("https://elefant.by/catalogue/147115170","Посмотреть на сайте ...")</f>
        <v>Посмотреть на сайте ...</v>
      </c>
    </row>
    <row r="192" spans="1:8" s="16" customFormat="1" x14ac:dyDescent="0.25">
      <c r="A192" s="17">
        <v>182</v>
      </c>
      <c r="B192" s="17" t="s">
        <v>11</v>
      </c>
      <c r="C192" s="17" t="s">
        <v>193</v>
      </c>
      <c r="D192" s="18">
        <v>5</v>
      </c>
      <c r="E192" s="18">
        <v>2.44</v>
      </c>
      <c r="F192" s="18">
        <v>2.93</v>
      </c>
      <c r="G192" s="20" t="s">
        <v>194</v>
      </c>
      <c r="H192" s="19" t="str">
        <f>HYPERLINK("https://elefant.by/catalogue/586911940","Посмотреть на сайте ...")</f>
        <v>Посмотреть на сайте ...</v>
      </c>
    </row>
    <row r="193" spans="1:8" s="16" customFormat="1" x14ac:dyDescent="0.25">
      <c r="A193" s="17">
        <v>183</v>
      </c>
      <c r="B193" s="17" t="s">
        <v>11</v>
      </c>
      <c r="C193" s="17" t="s">
        <v>195</v>
      </c>
      <c r="D193" s="18">
        <v>5</v>
      </c>
      <c r="E193" s="18">
        <v>2.44</v>
      </c>
      <c r="F193" s="18">
        <v>2.93</v>
      </c>
      <c r="G193" s="20" t="s">
        <v>196</v>
      </c>
      <c r="H193" s="19" t="str">
        <f>HYPERLINK("https://elefant.by/catalogue/586911941","Посмотреть на сайте ...")</f>
        <v>Посмотреть на сайте ...</v>
      </c>
    </row>
    <row r="194" spans="1:8" s="16" customFormat="1" x14ac:dyDescent="0.25">
      <c r="A194" s="17">
        <v>184</v>
      </c>
      <c r="B194" s="17" t="s">
        <v>11</v>
      </c>
      <c r="C194" s="17" t="s">
        <v>2998</v>
      </c>
      <c r="D194" s="18">
        <v>5</v>
      </c>
      <c r="E194" s="18">
        <v>2.27</v>
      </c>
      <c r="F194" s="18">
        <v>2.72</v>
      </c>
      <c r="G194" s="20" t="s">
        <v>4147</v>
      </c>
      <c r="H194" s="19" t="str">
        <f>HYPERLINK("https://elefant.by/catalogue/656918056","Посмотреть на сайте ...")</f>
        <v>Посмотреть на сайте ...</v>
      </c>
    </row>
    <row r="195" spans="1:8" s="16" customFormat="1" x14ac:dyDescent="0.25">
      <c r="A195" s="17">
        <v>185</v>
      </c>
      <c r="B195" s="17" t="s">
        <v>11</v>
      </c>
      <c r="C195" s="17" t="s">
        <v>2999</v>
      </c>
      <c r="D195" s="18">
        <v>5</v>
      </c>
      <c r="E195" s="18">
        <v>2.27</v>
      </c>
      <c r="F195" s="18">
        <v>2.72</v>
      </c>
      <c r="G195" s="20" t="s">
        <v>4148</v>
      </c>
      <c r="H195" s="19" t="str">
        <f>HYPERLINK("https://elefant.by/catalogue/656918057","Посмотреть на сайте ...")</f>
        <v>Посмотреть на сайте ...</v>
      </c>
    </row>
    <row r="196" spans="1:8" s="16" customFormat="1" x14ac:dyDescent="0.25">
      <c r="A196" s="17">
        <v>186</v>
      </c>
      <c r="B196" s="17" t="s">
        <v>11</v>
      </c>
      <c r="C196" s="17" t="s">
        <v>197</v>
      </c>
      <c r="D196" s="18">
        <v>5</v>
      </c>
      <c r="E196" s="18">
        <v>2.4</v>
      </c>
      <c r="F196" s="18">
        <v>2.88</v>
      </c>
      <c r="G196" s="20" t="s">
        <v>198</v>
      </c>
      <c r="H196" s="19" t="str">
        <f>HYPERLINK("https://elefant.by/catalogue/459702738","Посмотреть на сайте ...")</f>
        <v>Посмотреть на сайте ...</v>
      </c>
    </row>
    <row r="197" spans="1:8" s="16" customFormat="1" x14ac:dyDescent="0.25">
      <c r="A197" s="17">
        <v>187</v>
      </c>
      <c r="B197" s="17" t="s">
        <v>11</v>
      </c>
      <c r="C197" s="17" t="s">
        <v>199</v>
      </c>
      <c r="D197" s="18">
        <v>5</v>
      </c>
      <c r="E197" s="18">
        <v>2.4</v>
      </c>
      <c r="F197" s="18">
        <v>2.88</v>
      </c>
      <c r="G197" s="20" t="s">
        <v>200</v>
      </c>
      <c r="H197" s="19" t="str">
        <f>HYPERLINK("https://elefant.by/catalogue/459702742","Посмотреть на сайте ...")</f>
        <v>Посмотреть на сайте ...</v>
      </c>
    </row>
    <row r="198" spans="1:8" s="16" customFormat="1" x14ac:dyDescent="0.25">
      <c r="A198" s="17">
        <v>188</v>
      </c>
      <c r="B198" s="17" t="s">
        <v>11</v>
      </c>
      <c r="C198" s="17" t="s">
        <v>201</v>
      </c>
      <c r="D198" s="18">
        <v>5</v>
      </c>
      <c r="E198" s="18">
        <v>2.4</v>
      </c>
      <c r="F198" s="18">
        <v>2.88</v>
      </c>
      <c r="G198" s="20" t="s">
        <v>202</v>
      </c>
      <c r="H198" s="19" t="str">
        <f>HYPERLINK("https://elefant.by/catalogue/459702741","Посмотреть на сайте ...")</f>
        <v>Посмотреть на сайте ...</v>
      </c>
    </row>
    <row r="199" spans="1:8" s="16" customFormat="1" x14ac:dyDescent="0.25">
      <c r="A199" s="17">
        <v>189</v>
      </c>
      <c r="B199" s="17" t="s">
        <v>11</v>
      </c>
      <c r="C199" s="17" t="s">
        <v>203</v>
      </c>
      <c r="D199" s="18">
        <v>5</v>
      </c>
      <c r="E199" s="18">
        <v>2.4</v>
      </c>
      <c r="F199" s="18">
        <v>2.88</v>
      </c>
      <c r="G199" s="20" t="s">
        <v>204</v>
      </c>
      <c r="H199" s="19" t="str">
        <f>HYPERLINK("https://elefant.by/catalogue/586911937","Посмотреть на сайте ...")</f>
        <v>Посмотреть на сайте ...</v>
      </c>
    </row>
    <row r="200" spans="1:8" s="16" customFormat="1" x14ac:dyDescent="0.25">
      <c r="A200" s="17">
        <v>190</v>
      </c>
      <c r="B200" s="17" t="s">
        <v>11</v>
      </c>
      <c r="C200" s="17" t="s">
        <v>205</v>
      </c>
      <c r="D200" s="18">
        <v>5</v>
      </c>
      <c r="E200" s="18">
        <v>2.4</v>
      </c>
      <c r="F200" s="18">
        <v>2.88</v>
      </c>
      <c r="G200" s="20" t="s">
        <v>206</v>
      </c>
      <c r="H200" s="19" t="str">
        <f>HYPERLINK("https://elefant.by/catalogue/459702737","Посмотреть на сайте ...")</f>
        <v>Посмотреть на сайте ...</v>
      </c>
    </row>
    <row r="201" spans="1:8" s="16" customFormat="1" x14ac:dyDescent="0.25">
      <c r="A201" s="17">
        <v>191</v>
      </c>
      <c r="B201" s="17" t="s">
        <v>11</v>
      </c>
      <c r="C201" s="17" t="s">
        <v>207</v>
      </c>
      <c r="D201" s="18">
        <v>5</v>
      </c>
      <c r="E201" s="18">
        <v>2.4</v>
      </c>
      <c r="F201" s="18">
        <v>2.88</v>
      </c>
      <c r="G201" s="20" t="s">
        <v>208</v>
      </c>
      <c r="H201" s="19" t="str">
        <f>HYPERLINK("https://elefant.by/catalogue/586911936","Посмотреть на сайте ...")</f>
        <v>Посмотреть на сайте ...</v>
      </c>
    </row>
    <row r="202" spans="1:8" s="16" customFormat="1" x14ac:dyDescent="0.25">
      <c r="A202" s="17">
        <v>192</v>
      </c>
      <c r="B202" s="17" t="s">
        <v>11</v>
      </c>
      <c r="C202" s="17" t="s">
        <v>209</v>
      </c>
      <c r="D202" s="18">
        <v>10</v>
      </c>
      <c r="E202" s="18">
        <v>2.2200000000000002</v>
      </c>
      <c r="F202" s="18">
        <v>2.66</v>
      </c>
      <c r="G202" s="20" t="s">
        <v>210</v>
      </c>
      <c r="H202" s="19" t="str">
        <f>HYPERLINK("https://elefant.by/catalogue/185980179","Посмотреть на сайте ...")</f>
        <v>Посмотреть на сайте ...</v>
      </c>
    </row>
    <row r="203" spans="1:8" s="16" customFormat="1" x14ac:dyDescent="0.25">
      <c r="A203" s="17">
        <v>193</v>
      </c>
      <c r="B203" s="17" t="s">
        <v>11</v>
      </c>
      <c r="C203" s="17" t="s">
        <v>211</v>
      </c>
      <c r="D203" s="18">
        <v>10</v>
      </c>
      <c r="E203" s="18">
        <v>2.2200000000000002</v>
      </c>
      <c r="F203" s="18">
        <v>2.66</v>
      </c>
      <c r="G203" s="20" t="s">
        <v>212</v>
      </c>
      <c r="H203" s="19" t="str">
        <f>HYPERLINK("https://elefant.by/catalogue/185980176","Посмотреть на сайте ...")</f>
        <v>Посмотреть на сайте ...</v>
      </c>
    </row>
    <row r="204" spans="1:8" s="16" customFormat="1" x14ac:dyDescent="0.25">
      <c r="A204" s="17">
        <v>194</v>
      </c>
      <c r="B204" s="17" t="s">
        <v>11</v>
      </c>
      <c r="C204" s="17" t="s">
        <v>213</v>
      </c>
      <c r="D204" s="18">
        <v>10</v>
      </c>
      <c r="E204" s="18">
        <v>2.2200000000000002</v>
      </c>
      <c r="F204" s="18">
        <v>2.66</v>
      </c>
      <c r="G204" s="20" t="s">
        <v>214</v>
      </c>
      <c r="H204" s="19" t="str">
        <f>HYPERLINK("https://elefant.by/catalogue/185980177","Посмотреть на сайте ...")</f>
        <v>Посмотреть на сайте ...</v>
      </c>
    </row>
    <row r="205" spans="1:8" s="16" customFormat="1" x14ac:dyDescent="0.25">
      <c r="A205" s="17">
        <v>195</v>
      </c>
      <c r="B205" s="17" t="s">
        <v>11</v>
      </c>
      <c r="C205" s="17" t="s">
        <v>215</v>
      </c>
      <c r="D205" s="18">
        <v>10</v>
      </c>
      <c r="E205" s="18">
        <v>2.2200000000000002</v>
      </c>
      <c r="F205" s="18">
        <v>2.66</v>
      </c>
      <c r="G205" s="20" t="s">
        <v>216</v>
      </c>
      <c r="H205" s="19" t="str">
        <f>HYPERLINK("https://elefant.by/catalogue/185980178","Посмотреть на сайте ...")</f>
        <v>Посмотреть на сайте ...</v>
      </c>
    </row>
    <row r="206" spans="1:8" s="16" customFormat="1" x14ac:dyDescent="0.25">
      <c r="A206" s="17">
        <v>196</v>
      </c>
      <c r="B206" s="17" t="s">
        <v>11</v>
      </c>
      <c r="C206" s="17" t="s">
        <v>217</v>
      </c>
      <c r="D206" s="18">
        <v>1</v>
      </c>
      <c r="E206" s="18">
        <v>10.39</v>
      </c>
      <c r="F206" s="18">
        <v>12.47</v>
      </c>
      <c r="G206" s="20" t="s">
        <v>218</v>
      </c>
      <c r="H206" s="19" t="str">
        <f>HYPERLINK("https://elefant.by/catalogue/166650182","Посмотреть на сайте ...")</f>
        <v>Посмотреть на сайте ...</v>
      </c>
    </row>
    <row r="207" spans="1:8" s="16" customFormat="1" x14ac:dyDescent="0.25">
      <c r="A207" s="17">
        <v>197</v>
      </c>
      <c r="B207" s="17" t="s">
        <v>11</v>
      </c>
      <c r="C207" s="17" t="s">
        <v>3000</v>
      </c>
      <c r="D207" s="18">
        <v>1</v>
      </c>
      <c r="E207" s="18">
        <v>10.39</v>
      </c>
      <c r="F207" s="18">
        <v>12.47</v>
      </c>
      <c r="G207" s="20" t="s">
        <v>4149</v>
      </c>
      <c r="H207" s="19" t="str">
        <f>HYPERLINK("https://elefant.by/catalogue/176457803","Посмотреть на сайте ...")</f>
        <v>Посмотреть на сайте ...</v>
      </c>
    </row>
    <row r="208" spans="1:8" s="16" customFormat="1" x14ac:dyDescent="0.25">
      <c r="A208" s="17">
        <v>198</v>
      </c>
      <c r="B208" s="17" t="s">
        <v>2915</v>
      </c>
      <c r="C208" s="17" t="s">
        <v>3001</v>
      </c>
      <c r="D208" s="18">
        <v>25</v>
      </c>
      <c r="E208" s="18">
        <v>7.89</v>
      </c>
      <c r="F208" s="18">
        <v>9.4700000000000006</v>
      </c>
      <c r="G208" s="20" t="s">
        <v>4150</v>
      </c>
      <c r="H208" s="19" t="str">
        <f>HYPERLINK("https://elefant.by/catalogue/687572902","Посмотреть на сайте ...")</f>
        <v>Посмотреть на сайте ...</v>
      </c>
    </row>
    <row r="209" spans="1:8" s="16" customFormat="1" x14ac:dyDescent="0.25">
      <c r="A209" s="17">
        <v>199</v>
      </c>
      <c r="B209" s="17" t="s">
        <v>11</v>
      </c>
      <c r="C209" s="17" t="s">
        <v>219</v>
      </c>
      <c r="D209" s="18">
        <v>5</v>
      </c>
      <c r="E209" s="18">
        <v>8.93</v>
      </c>
      <c r="F209" s="18">
        <v>10.72</v>
      </c>
      <c r="G209" s="20" t="s">
        <v>220</v>
      </c>
      <c r="H209" s="19" t="str">
        <f>HYPERLINK("https://elefant.by/catalogue/166650179","Посмотреть на сайте ...")</f>
        <v>Посмотреть на сайте ...</v>
      </c>
    </row>
    <row r="210" spans="1:8" s="16" customFormat="1" x14ac:dyDescent="0.25">
      <c r="A210" s="17">
        <v>200</v>
      </c>
      <c r="B210" s="17" t="s">
        <v>11</v>
      </c>
      <c r="C210" s="17" t="s">
        <v>221</v>
      </c>
      <c r="D210" s="18">
        <v>5</v>
      </c>
      <c r="E210" s="18">
        <v>8.93</v>
      </c>
      <c r="F210" s="18">
        <v>10.72</v>
      </c>
      <c r="G210" s="20" t="s">
        <v>222</v>
      </c>
      <c r="H210" s="19" t="str">
        <f>HYPERLINK("https://elefant.by/catalogue/166650180","Посмотреть на сайте ...")</f>
        <v>Посмотреть на сайте ...</v>
      </c>
    </row>
    <row r="211" spans="1:8" s="16" customFormat="1" x14ac:dyDescent="0.25">
      <c r="A211" s="17">
        <v>201</v>
      </c>
      <c r="B211" s="17" t="s">
        <v>224</v>
      </c>
      <c r="C211" s="17" t="s">
        <v>225</v>
      </c>
      <c r="D211" s="18">
        <v>1</v>
      </c>
      <c r="E211" s="18">
        <v>6.63</v>
      </c>
      <c r="F211" s="18">
        <v>7.96</v>
      </c>
      <c r="G211" s="20" t="s">
        <v>226</v>
      </c>
      <c r="H211" s="19" t="str">
        <f>HYPERLINK("https://elefant.by/catalogue/583746414","Посмотреть на сайте ...")</f>
        <v>Посмотреть на сайте ...</v>
      </c>
    </row>
    <row r="212" spans="1:8" s="16" customFormat="1" x14ac:dyDescent="0.25">
      <c r="A212" s="17">
        <v>202</v>
      </c>
      <c r="B212" s="17" t="s">
        <v>132</v>
      </c>
      <c r="C212" s="17" t="s">
        <v>3004</v>
      </c>
      <c r="D212" s="18">
        <v>10</v>
      </c>
      <c r="E212" s="18">
        <v>0.85</v>
      </c>
      <c r="F212" s="18">
        <v>1.02</v>
      </c>
      <c r="G212" s="20" t="s">
        <v>4151</v>
      </c>
      <c r="H212" s="19" t="str">
        <f>HYPERLINK("https://elefant.by/catalogue/150070241","Посмотреть на сайте ...")</f>
        <v>Посмотреть на сайте ...</v>
      </c>
    </row>
    <row r="213" spans="1:8" s="16" customFormat="1" x14ac:dyDescent="0.25">
      <c r="A213" s="17">
        <v>203</v>
      </c>
      <c r="B213" s="17" t="s">
        <v>227</v>
      </c>
      <c r="C213" s="17" t="s">
        <v>228</v>
      </c>
      <c r="D213" s="18">
        <v>1</v>
      </c>
      <c r="E213" s="18">
        <v>0.69</v>
      </c>
      <c r="F213" s="18">
        <v>0.83</v>
      </c>
      <c r="G213" s="20" t="s">
        <v>229</v>
      </c>
      <c r="H213" s="19" t="str">
        <f>HYPERLINK("https://elefant.by/catalogue/413712988","Посмотреть на сайте ...")</f>
        <v>Посмотреть на сайте ...</v>
      </c>
    </row>
    <row r="214" spans="1:8" s="16" customFormat="1" x14ac:dyDescent="0.25">
      <c r="A214" s="17">
        <v>204</v>
      </c>
      <c r="B214" s="17" t="s">
        <v>132</v>
      </c>
      <c r="C214" s="17" t="s">
        <v>230</v>
      </c>
      <c r="D214" s="18">
        <v>1</v>
      </c>
      <c r="E214" s="18">
        <v>1.1299999999999999</v>
      </c>
      <c r="F214" s="18">
        <v>1.36</v>
      </c>
      <c r="G214" s="20" t="s">
        <v>231</v>
      </c>
      <c r="H214" s="19" t="str">
        <f>HYPERLINK("https://elefant.by/catalogue/233340191","Посмотреть на сайте ...")</f>
        <v>Посмотреть на сайте ...</v>
      </c>
    </row>
    <row r="215" spans="1:8" s="16" customFormat="1" x14ac:dyDescent="0.25">
      <c r="A215" s="17">
        <v>205</v>
      </c>
      <c r="B215" s="17" t="s">
        <v>132</v>
      </c>
      <c r="C215" s="17" t="s">
        <v>232</v>
      </c>
      <c r="D215" s="18">
        <v>1</v>
      </c>
      <c r="E215" s="18">
        <v>1.3</v>
      </c>
      <c r="F215" s="18">
        <v>1.56</v>
      </c>
      <c r="G215" s="20" t="s">
        <v>233</v>
      </c>
      <c r="H215" s="19" t="str">
        <f>HYPERLINK("https://elefant.by/catalogue/200666502","Посмотреть на сайте ...")</f>
        <v>Посмотреть на сайте ...</v>
      </c>
    </row>
    <row r="216" spans="1:8" s="16" customFormat="1" x14ac:dyDescent="0.25">
      <c r="A216" s="17">
        <v>206</v>
      </c>
      <c r="B216" s="17" t="s">
        <v>132</v>
      </c>
      <c r="C216" s="17" t="s">
        <v>3005</v>
      </c>
      <c r="D216" s="18">
        <v>1</v>
      </c>
      <c r="E216" s="18">
        <v>0.52</v>
      </c>
      <c r="F216" s="18">
        <v>0.62</v>
      </c>
      <c r="G216" s="20" t="s">
        <v>4152</v>
      </c>
      <c r="H216" s="19" t="str">
        <f>HYPERLINK("https://elefant.by/catalogue/697144976","Посмотреть на сайте ...")</f>
        <v>Посмотреть на сайте ...</v>
      </c>
    </row>
    <row r="217" spans="1:8" s="16" customFormat="1" x14ac:dyDescent="0.25">
      <c r="A217" s="17">
        <v>207</v>
      </c>
      <c r="B217" s="17" t="s">
        <v>227</v>
      </c>
      <c r="C217" s="17" t="s">
        <v>234</v>
      </c>
      <c r="D217" s="18">
        <v>1</v>
      </c>
      <c r="E217" s="18">
        <v>0.71</v>
      </c>
      <c r="F217" s="18">
        <v>0.85</v>
      </c>
      <c r="G217" s="20" t="s">
        <v>235</v>
      </c>
      <c r="H217" s="19" t="str">
        <f>HYPERLINK("https://elefant.by/catalogue/536867025","Посмотреть на сайте ...")</f>
        <v>Посмотреть на сайте ...</v>
      </c>
    </row>
    <row r="218" spans="1:8" s="16" customFormat="1" x14ac:dyDescent="0.25">
      <c r="A218" s="17">
        <v>208</v>
      </c>
      <c r="B218" s="17" t="s">
        <v>227</v>
      </c>
      <c r="C218" s="17" t="s">
        <v>236</v>
      </c>
      <c r="D218" s="18">
        <v>1</v>
      </c>
      <c r="E218" s="18">
        <v>1.03</v>
      </c>
      <c r="F218" s="18">
        <v>1.24</v>
      </c>
      <c r="G218" s="20" t="s">
        <v>237</v>
      </c>
      <c r="H218" s="19" t="str">
        <f>HYPERLINK("https://elefant.by/catalogue/513997610","Посмотреть на сайте ...")</f>
        <v>Посмотреть на сайте ...</v>
      </c>
    </row>
    <row r="219" spans="1:8" s="16" customFormat="1" x14ac:dyDescent="0.25">
      <c r="A219" s="17">
        <v>209</v>
      </c>
      <c r="B219" s="17" t="s">
        <v>227</v>
      </c>
      <c r="C219" s="17" t="s">
        <v>238</v>
      </c>
      <c r="D219" s="18">
        <v>5</v>
      </c>
      <c r="E219" s="18">
        <v>1.2</v>
      </c>
      <c r="F219" s="18">
        <v>1.44</v>
      </c>
      <c r="G219" s="20" t="s">
        <v>237</v>
      </c>
      <c r="H219" s="19" t="str">
        <f>HYPERLINK("https://elefant.by/catalogue/443360913","Посмотреть на сайте ...")</f>
        <v>Посмотреть на сайте ...</v>
      </c>
    </row>
    <row r="220" spans="1:8" s="16" customFormat="1" x14ac:dyDescent="0.25">
      <c r="A220" s="17">
        <v>210</v>
      </c>
      <c r="B220" s="17" t="s">
        <v>17</v>
      </c>
      <c r="C220" s="17" t="s">
        <v>239</v>
      </c>
      <c r="D220" s="18">
        <v>1</v>
      </c>
      <c r="E220" s="18">
        <v>14.57</v>
      </c>
      <c r="F220" s="18">
        <v>17.48</v>
      </c>
      <c r="G220" s="20" t="s">
        <v>240</v>
      </c>
      <c r="H220" s="19" t="str">
        <f>HYPERLINK("https://elefant.by/catalogue/402510920","Посмотреть на сайте ...")</f>
        <v>Посмотреть на сайте ...</v>
      </c>
    </row>
    <row r="221" spans="1:8" s="16" customFormat="1" x14ac:dyDescent="0.25">
      <c r="A221" s="17">
        <v>211</v>
      </c>
      <c r="B221" s="17" t="s">
        <v>66</v>
      </c>
      <c r="C221" s="17" t="s">
        <v>3006</v>
      </c>
      <c r="D221" s="18">
        <v>40</v>
      </c>
      <c r="E221" s="18">
        <v>1.48</v>
      </c>
      <c r="F221" s="18">
        <v>1.78</v>
      </c>
      <c r="G221" s="20" t="s">
        <v>4153</v>
      </c>
      <c r="H221" s="19" t="str">
        <f>HYPERLINK("https://elefant.by/catalogue/152175824","Посмотреть на сайте ...")</f>
        <v>Посмотреть на сайте ...</v>
      </c>
    </row>
    <row r="222" spans="1:8" s="16" customFormat="1" x14ac:dyDescent="0.25">
      <c r="A222" s="17">
        <v>212</v>
      </c>
      <c r="B222" s="17" t="s">
        <v>66</v>
      </c>
      <c r="C222" s="17" t="s">
        <v>3007</v>
      </c>
      <c r="D222" s="18">
        <v>90</v>
      </c>
      <c r="E222" s="18">
        <v>0.88</v>
      </c>
      <c r="F222" s="18">
        <v>1.06</v>
      </c>
      <c r="G222" s="20" t="s">
        <v>4154</v>
      </c>
      <c r="H222" s="19" t="str">
        <f>HYPERLINK("https://elefant.by/catalogue/152175821","Посмотреть на сайте ...")</f>
        <v>Посмотреть на сайте ...</v>
      </c>
    </row>
    <row r="223" spans="1:8" s="16" customFormat="1" x14ac:dyDescent="0.25">
      <c r="A223" s="17">
        <v>213</v>
      </c>
      <c r="B223" s="17" t="s">
        <v>63</v>
      </c>
      <c r="C223" s="17" t="s">
        <v>241</v>
      </c>
      <c r="D223" s="18">
        <v>1</v>
      </c>
      <c r="E223" s="18">
        <v>16.79</v>
      </c>
      <c r="F223" s="18">
        <v>20.149999999999999</v>
      </c>
      <c r="G223" s="20" t="s">
        <v>242</v>
      </c>
      <c r="H223" s="19" t="str">
        <f>HYPERLINK("https://elefant.by/catalogue/588424865","Посмотреть на сайте ...")</f>
        <v>Посмотреть на сайте ...</v>
      </c>
    </row>
    <row r="224" spans="1:8" s="16" customFormat="1" x14ac:dyDescent="0.25">
      <c r="A224" s="17">
        <v>214</v>
      </c>
      <c r="B224" s="17" t="s">
        <v>63</v>
      </c>
      <c r="C224" s="17" t="s">
        <v>3008</v>
      </c>
      <c r="D224" s="18">
        <v>1</v>
      </c>
      <c r="E224" s="18">
        <v>79.34</v>
      </c>
      <c r="F224" s="18">
        <v>95.21</v>
      </c>
      <c r="G224" s="20" t="s">
        <v>4155</v>
      </c>
      <c r="H224" s="19" t="str">
        <f>HYPERLINK("https://elefant.by/catalogue/689488385","Посмотреть на сайте ...")</f>
        <v>Посмотреть на сайте ...</v>
      </c>
    </row>
    <row r="225" spans="1:8" s="16" customFormat="1" x14ac:dyDescent="0.25">
      <c r="A225" s="17">
        <v>215</v>
      </c>
      <c r="B225" s="17" t="s">
        <v>63</v>
      </c>
      <c r="C225" s="17" t="s">
        <v>243</v>
      </c>
      <c r="D225" s="18">
        <v>1</v>
      </c>
      <c r="E225" s="18">
        <v>6.45</v>
      </c>
      <c r="F225" s="18">
        <v>7.74</v>
      </c>
      <c r="G225" s="20" t="s">
        <v>244</v>
      </c>
      <c r="H225" s="19" t="str">
        <f>HYPERLINK("https://elefant.by/catalogue/630325075","Посмотреть на сайте ...")</f>
        <v>Посмотреть на сайте ...</v>
      </c>
    </row>
    <row r="226" spans="1:8" s="16" customFormat="1" x14ac:dyDescent="0.25">
      <c r="A226" s="17">
        <v>216</v>
      </c>
      <c r="B226" s="17" t="s">
        <v>63</v>
      </c>
      <c r="C226" s="17" t="s">
        <v>245</v>
      </c>
      <c r="D226" s="18">
        <v>1</v>
      </c>
      <c r="E226" s="18">
        <v>20.43</v>
      </c>
      <c r="F226" s="18">
        <v>24.52</v>
      </c>
      <c r="G226" s="20" t="s">
        <v>246</v>
      </c>
      <c r="H226" s="19" t="str">
        <f>HYPERLINK("https://elefant.by/catalogue/620246254","Посмотреть на сайте ...")</f>
        <v>Посмотреть на сайте ...</v>
      </c>
    </row>
    <row r="227" spans="1:8" s="16" customFormat="1" x14ac:dyDescent="0.25">
      <c r="A227" s="17">
        <v>217</v>
      </c>
      <c r="B227" s="17" t="s">
        <v>63</v>
      </c>
      <c r="C227" s="17" t="s">
        <v>247</v>
      </c>
      <c r="D227" s="18">
        <v>1</v>
      </c>
      <c r="E227" s="18">
        <v>10.56</v>
      </c>
      <c r="F227" s="18">
        <v>12.67</v>
      </c>
      <c r="G227" s="20" t="s">
        <v>248</v>
      </c>
      <c r="H227" s="19" t="str">
        <f>HYPERLINK("https://elefant.by/catalogue/643920971","Посмотреть на сайте ...")</f>
        <v>Посмотреть на сайте ...</v>
      </c>
    </row>
    <row r="228" spans="1:8" s="16" customFormat="1" x14ac:dyDescent="0.25">
      <c r="A228" s="17">
        <v>218</v>
      </c>
      <c r="B228" s="17" t="s">
        <v>63</v>
      </c>
      <c r="C228" s="17" t="s">
        <v>249</v>
      </c>
      <c r="D228" s="18">
        <v>1</v>
      </c>
      <c r="E228" s="18">
        <v>20.69</v>
      </c>
      <c r="F228" s="18">
        <v>24.83</v>
      </c>
      <c r="G228" s="20" t="s">
        <v>250</v>
      </c>
      <c r="H228" s="19" t="str">
        <f>HYPERLINK("https://elefant.by/catalogue/643920972","Посмотреть на сайте ...")</f>
        <v>Посмотреть на сайте ...</v>
      </c>
    </row>
    <row r="229" spans="1:8" s="16" customFormat="1" x14ac:dyDescent="0.25">
      <c r="A229" s="17">
        <v>219</v>
      </c>
      <c r="B229" s="17" t="s">
        <v>12</v>
      </c>
      <c r="C229" s="17" t="s">
        <v>251</v>
      </c>
      <c r="D229" s="18">
        <v>1</v>
      </c>
      <c r="E229" s="18">
        <v>169.67</v>
      </c>
      <c r="F229" s="18">
        <v>203.6</v>
      </c>
      <c r="G229" s="20" t="s">
        <v>252</v>
      </c>
      <c r="H229" s="19" t="str">
        <f>HYPERLINK("https://elefant.by/catalogue/526078123","Посмотреть на сайте ...")</f>
        <v>Посмотреть на сайте ...</v>
      </c>
    </row>
    <row r="230" spans="1:8" s="16" customFormat="1" x14ac:dyDescent="0.25">
      <c r="A230" s="17">
        <v>220</v>
      </c>
      <c r="B230" s="17" t="s">
        <v>14</v>
      </c>
      <c r="C230" s="17" t="s">
        <v>3009</v>
      </c>
      <c r="D230" s="18">
        <v>200</v>
      </c>
      <c r="E230" s="18">
        <v>0.21</v>
      </c>
      <c r="F230" s="18">
        <v>0.25</v>
      </c>
      <c r="G230" s="20" t="s">
        <v>4156</v>
      </c>
      <c r="H230" s="19" t="str">
        <f>HYPERLINK("https://elefant.by/catalogue/495973661","Посмотреть на сайте ...")</f>
        <v>Посмотреть на сайте ...</v>
      </c>
    </row>
    <row r="231" spans="1:8" s="16" customFormat="1" x14ac:dyDescent="0.25">
      <c r="A231" s="17">
        <v>221</v>
      </c>
      <c r="B231" s="17" t="s">
        <v>12</v>
      </c>
      <c r="C231" s="17" t="s">
        <v>253</v>
      </c>
      <c r="D231" s="18">
        <v>6</v>
      </c>
      <c r="E231" s="18">
        <v>57.65</v>
      </c>
      <c r="F231" s="18">
        <v>69.180000000000007</v>
      </c>
      <c r="G231" s="20" t="s">
        <v>254</v>
      </c>
      <c r="H231" s="19" t="str">
        <f>HYPERLINK("https://elefant.by/catalogue/622982734","Посмотреть на сайте ...")</f>
        <v>Посмотреть на сайте ...</v>
      </c>
    </row>
    <row r="232" spans="1:8" s="16" customFormat="1" x14ac:dyDescent="0.25">
      <c r="A232" s="17">
        <v>222</v>
      </c>
      <c r="B232" s="17" t="s">
        <v>9</v>
      </c>
      <c r="C232" s="17" t="s">
        <v>255</v>
      </c>
      <c r="D232" s="18">
        <v>24</v>
      </c>
      <c r="E232" s="18">
        <v>5.0599999999999996</v>
      </c>
      <c r="F232" s="18">
        <v>6.07</v>
      </c>
      <c r="G232" s="20" t="s">
        <v>256</v>
      </c>
      <c r="H232" s="19" t="str">
        <f>HYPERLINK("https://elefant.by/catalogue/153367919","Посмотреть на сайте ...")</f>
        <v>Посмотреть на сайте ...</v>
      </c>
    </row>
    <row r="233" spans="1:8" s="16" customFormat="1" x14ac:dyDescent="0.25">
      <c r="A233" s="17">
        <v>223</v>
      </c>
      <c r="B233" s="17" t="s">
        <v>12</v>
      </c>
      <c r="C233" s="17" t="s">
        <v>257</v>
      </c>
      <c r="D233" s="18">
        <v>12</v>
      </c>
      <c r="E233" s="18">
        <v>4.4000000000000004</v>
      </c>
      <c r="F233" s="18">
        <v>5.28</v>
      </c>
      <c r="G233" s="20" t="s">
        <v>258</v>
      </c>
      <c r="H233" s="19" t="str">
        <f>HYPERLINK("https://elefant.by/catalogue/454841733","Посмотреть на сайте ...")</f>
        <v>Посмотреть на сайте ...</v>
      </c>
    </row>
    <row r="234" spans="1:8" s="16" customFormat="1" x14ac:dyDescent="0.25">
      <c r="A234" s="17">
        <v>224</v>
      </c>
      <c r="B234" s="17" t="s">
        <v>12</v>
      </c>
      <c r="C234" s="17" t="s">
        <v>259</v>
      </c>
      <c r="D234" s="18">
        <v>12</v>
      </c>
      <c r="E234" s="18">
        <v>2.0099999999999998</v>
      </c>
      <c r="F234" s="18">
        <v>2.41</v>
      </c>
      <c r="G234" s="20" t="s">
        <v>260</v>
      </c>
      <c r="H234" s="19" t="str">
        <f>HYPERLINK("https://elefant.by/catalogue/584719320","Посмотреть на сайте ...")</f>
        <v>Посмотреть на сайте ...</v>
      </c>
    </row>
    <row r="235" spans="1:8" s="16" customFormat="1" x14ac:dyDescent="0.25">
      <c r="A235" s="17">
        <v>225</v>
      </c>
      <c r="B235" s="17" t="s">
        <v>9</v>
      </c>
      <c r="C235" s="17" t="s">
        <v>261</v>
      </c>
      <c r="D235" s="18">
        <v>12</v>
      </c>
      <c r="E235" s="18">
        <v>6.65</v>
      </c>
      <c r="F235" s="18">
        <v>7.98</v>
      </c>
      <c r="G235" s="20" t="s">
        <v>262</v>
      </c>
      <c r="H235" s="19" t="str">
        <f>HYPERLINK("https://elefant.by/catalogue/153367918","Посмотреть на сайте ...")</f>
        <v>Посмотреть на сайте ...</v>
      </c>
    </row>
    <row r="236" spans="1:8" s="16" customFormat="1" x14ac:dyDescent="0.25">
      <c r="A236" s="17">
        <v>226</v>
      </c>
      <c r="B236" s="17" t="s">
        <v>9</v>
      </c>
      <c r="C236" s="17" t="s">
        <v>263</v>
      </c>
      <c r="D236" s="18">
        <v>24</v>
      </c>
      <c r="E236" s="18">
        <v>5.55</v>
      </c>
      <c r="F236" s="18">
        <v>6.66</v>
      </c>
      <c r="G236" s="20" t="s">
        <v>264</v>
      </c>
      <c r="H236" s="19" t="str">
        <f>HYPERLINK("https://elefant.by/catalogue/147109018","Посмотреть на сайте ...")</f>
        <v>Посмотреть на сайте ...</v>
      </c>
    </row>
    <row r="237" spans="1:8" s="16" customFormat="1" x14ac:dyDescent="0.25">
      <c r="A237" s="17">
        <v>227</v>
      </c>
      <c r="B237" s="17" t="s">
        <v>20</v>
      </c>
      <c r="C237" s="17" t="s">
        <v>265</v>
      </c>
      <c r="D237" s="18">
        <v>2</v>
      </c>
      <c r="E237" s="18">
        <v>2.56</v>
      </c>
      <c r="F237" s="18">
        <v>3.07</v>
      </c>
      <c r="G237" s="20" t="s">
        <v>266</v>
      </c>
      <c r="H237" s="19" t="str">
        <f>HYPERLINK("https://elefant.by/catalogue/572720361","Посмотреть на сайте ...")</f>
        <v>Посмотреть на сайте ...</v>
      </c>
    </row>
    <row r="238" spans="1:8" s="16" customFormat="1" x14ac:dyDescent="0.25">
      <c r="A238" s="17">
        <v>228</v>
      </c>
      <c r="B238" s="17" t="s">
        <v>12</v>
      </c>
      <c r="C238" s="17" t="s">
        <v>267</v>
      </c>
      <c r="D238" s="18">
        <v>12</v>
      </c>
      <c r="E238" s="18">
        <v>6.21</v>
      </c>
      <c r="F238" s="18">
        <v>7.45</v>
      </c>
      <c r="G238" s="20" t="s">
        <v>268</v>
      </c>
      <c r="H238" s="19" t="str">
        <f>HYPERLINK("https://elefant.by/catalogue/474262372","Посмотреть на сайте ...")</f>
        <v>Посмотреть на сайте ...</v>
      </c>
    </row>
    <row r="239" spans="1:8" s="16" customFormat="1" x14ac:dyDescent="0.25">
      <c r="A239" s="17">
        <v>229</v>
      </c>
      <c r="B239" s="17" t="s">
        <v>9</v>
      </c>
      <c r="C239" s="17" t="s">
        <v>269</v>
      </c>
      <c r="D239" s="18">
        <v>12</v>
      </c>
      <c r="E239" s="18">
        <v>9.7200000000000006</v>
      </c>
      <c r="F239" s="18">
        <v>11.66</v>
      </c>
      <c r="G239" s="20" t="s">
        <v>270</v>
      </c>
      <c r="H239" s="19" t="str">
        <f>HYPERLINK("https://elefant.by/catalogue/192358232","Посмотреть на сайте ...")</f>
        <v>Посмотреть на сайте ...</v>
      </c>
    </row>
    <row r="240" spans="1:8" s="16" customFormat="1" x14ac:dyDescent="0.25">
      <c r="A240" s="17">
        <v>230</v>
      </c>
      <c r="B240" s="17" t="s">
        <v>9</v>
      </c>
      <c r="C240" s="17" t="s">
        <v>271</v>
      </c>
      <c r="D240" s="18">
        <v>12</v>
      </c>
      <c r="E240" s="18">
        <v>10.86</v>
      </c>
      <c r="F240" s="18">
        <v>13.03</v>
      </c>
      <c r="G240" s="20" t="s">
        <v>272</v>
      </c>
      <c r="H240" s="19" t="str">
        <f>HYPERLINK("https://elefant.by/catalogue/147111366","Посмотреть на сайте ...")</f>
        <v>Посмотреть на сайте ...</v>
      </c>
    </row>
    <row r="241" spans="1:8" s="16" customFormat="1" x14ac:dyDescent="0.25">
      <c r="A241" s="17">
        <v>231</v>
      </c>
      <c r="B241" s="17" t="s">
        <v>9</v>
      </c>
      <c r="C241" s="17" t="s">
        <v>273</v>
      </c>
      <c r="D241" s="18">
        <v>6</v>
      </c>
      <c r="E241" s="18">
        <v>20.350000000000001</v>
      </c>
      <c r="F241" s="18">
        <v>24.42</v>
      </c>
      <c r="G241" s="20" t="s">
        <v>274</v>
      </c>
      <c r="H241" s="19" t="str">
        <f>HYPERLINK("https://elefant.by/catalogue/147110857","Посмотреть на сайте ...")</f>
        <v>Посмотреть на сайте ...</v>
      </c>
    </row>
    <row r="242" spans="1:8" s="16" customFormat="1" x14ac:dyDescent="0.25">
      <c r="A242" s="17">
        <v>232</v>
      </c>
      <c r="B242" s="17" t="s">
        <v>12</v>
      </c>
      <c r="C242" s="17" t="s">
        <v>275</v>
      </c>
      <c r="D242" s="18">
        <v>1</v>
      </c>
      <c r="E242" s="18">
        <v>15.91</v>
      </c>
      <c r="F242" s="18">
        <v>19.09</v>
      </c>
      <c r="G242" s="20" t="s">
        <v>276</v>
      </c>
      <c r="H242" s="19" t="str">
        <f>HYPERLINK("https://elefant.by/catalogue/454841739","Посмотреть на сайте ...")</f>
        <v>Посмотреть на сайте ...</v>
      </c>
    </row>
    <row r="243" spans="1:8" s="16" customFormat="1" x14ac:dyDescent="0.25">
      <c r="A243" s="17">
        <v>233</v>
      </c>
      <c r="B243" s="17" t="s">
        <v>9</v>
      </c>
      <c r="C243" s="17" t="s">
        <v>277</v>
      </c>
      <c r="D243" s="18">
        <v>6</v>
      </c>
      <c r="E243" s="18">
        <v>26.98</v>
      </c>
      <c r="F243" s="18">
        <v>32.380000000000003</v>
      </c>
      <c r="G243" s="20" t="s">
        <v>278</v>
      </c>
      <c r="H243" s="19" t="str">
        <f>HYPERLINK("https://elefant.by/catalogue/148637252","Посмотреть на сайте ...")</f>
        <v>Посмотреть на сайте ...</v>
      </c>
    </row>
    <row r="244" spans="1:8" s="16" customFormat="1" x14ac:dyDescent="0.25">
      <c r="A244" s="17">
        <v>234</v>
      </c>
      <c r="B244" s="17" t="s">
        <v>9</v>
      </c>
      <c r="C244" s="17" t="s">
        <v>279</v>
      </c>
      <c r="D244" s="18">
        <v>12</v>
      </c>
      <c r="E244" s="18">
        <v>20.77</v>
      </c>
      <c r="F244" s="18">
        <v>24.92</v>
      </c>
      <c r="G244" s="20" t="s">
        <v>280</v>
      </c>
      <c r="H244" s="19" t="str">
        <f>HYPERLINK("https://elefant.by/catalogue/147587195","Посмотреть на сайте ...")</f>
        <v>Посмотреть на сайте ...</v>
      </c>
    </row>
    <row r="245" spans="1:8" s="16" customFormat="1" x14ac:dyDescent="0.25">
      <c r="A245" s="17">
        <v>235</v>
      </c>
      <c r="B245" s="17" t="s">
        <v>63</v>
      </c>
      <c r="C245" s="17" t="s">
        <v>281</v>
      </c>
      <c r="D245" s="18">
        <v>12</v>
      </c>
      <c r="E245" s="18">
        <v>12.61</v>
      </c>
      <c r="F245" s="18">
        <v>15.13</v>
      </c>
      <c r="G245" s="20" t="s">
        <v>282</v>
      </c>
      <c r="H245" s="19" t="str">
        <f>HYPERLINK("https://elefant.by/catalogue/584719322","Посмотреть на сайте ...")</f>
        <v>Посмотреть на сайте ...</v>
      </c>
    </row>
    <row r="246" spans="1:8" s="16" customFormat="1" x14ac:dyDescent="0.25">
      <c r="A246" s="17">
        <v>236</v>
      </c>
      <c r="B246" s="17" t="s">
        <v>12</v>
      </c>
      <c r="C246" s="17" t="s">
        <v>283</v>
      </c>
      <c r="D246" s="18">
        <v>6</v>
      </c>
      <c r="E246" s="18">
        <v>28.81</v>
      </c>
      <c r="F246" s="18">
        <v>34.57</v>
      </c>
      <c r="G246" s="20" t="s">
        <v>284</v>
      </c>
      <c r="H246" s="19" t="str">
        <f>HYPERLINK("https://elefant.by/catalogue/622982740","Посмотреть на сайте ...")</f>
        <v>Посмотреть на сайте ...</v>
      </c>
    </row>
    <row r="247" spans="1:8" s="16" customFormat="1" x14ac:dyDescent="0.25">
      <c r="A247" s="17">
        <v>237</v>
      </c>
      <c r="B247" s="17" t="s">
        <v>12</v>
      </c>
      <c r="C247" s="17" t="s">
        <v>286</v>
      </c>
      <c r="D247" s="18">
        <v>6</v>
      </c>
      <c r="E247" s="18">
        <v>39.299999999999997</v>
      </c>
      <c r="F247" s="18">
        <v>47.16</v>
      </c>
      <c r="G247" s="20" t="s">
        <v>287</v>
      </c>
      <c r="H247" s="19" t="str">
        <f>HYPERLINK("https://elefant.by/catalogue/505970858","Посмотреть на сайте ...")</f>
        <v>Посмотреть на сайте ...</v>
      </c>
    </row>
    <row r="248" spans="1:8" s="16" customFormat="1" x14ac:dyDescent="0.25">
      <c r="A248" s="17">
        <v>238</v>
      </c>
      <c r="B248" s="17" t="s">
        <v>2915</v>
      </c>
      <c r="C248" s="17" t="s">
        <v>3010</v>
      </c>
      <c r="D248" s="18">
        <v>20</v>
      </c>
      <c r="E248" s="18">
        <v>2.46</v>
      </c>
      <c r="F248" s="18">
        <v>2.95</v>
      </c>
      <c r="G248" s="20" t="s">
        <v>4157</v>
      </c>
      <c r="H248" s="19" t="str">
        <f>HYPERLINK("https://elefant.by/catalogue/704345434","Посмотреть на сайте ...")</f>
        <v>Посмотреть на сайте ...</v>
      </c>
    </row>
    <row r="249" spans="1:8" s="16" customFormat="1" x14ac:dyDescent="0.25">
      <c r="A249" s="17">
        <v>239</v>
      </c>
      <c r="B249" s="17" t="s">
        <v>2915</v>
      </c>
      <c r="C249" s="17" t="s">
        <v>3011</v>
      </c>
      <c r="D249" s="18">
        <v>20</v>
      </c>
      <c r="E249" s="18">
        <v>2.46</v>
      </c>
      <c r="F249" s="18">
        <v>2.95</v>
      </c>
      <c r="G249" s="20" t="s">
        <v>4158</v>
      </c>
      <c r="H249" s="19" t="str">
        <f>HYPERLINK("https://elefant.by/catalogue/704345436","Посмотреть на сайте ...")</f>
        <v>Посмотреть на сайте ...</v>
      </c>
    </row>
    <row r="250" spans="1:8" s="16" customFormat="1" x14ac:dyDescent="0.25">
      <c r="A250" s="17">
        <v>240</v>
      </c>
      <c r="B250" s="17" t="s">
        <v>2915</v>
      </c>
      <c r="C250" s="17" t="s">
        <v>3012</v>
      </c>
      <c r="D250" s="18">
        <v>20</v>
      </c>
      <c r="E250" s="18">
        <v>2.46</v>
      </c>
      <c r="F250" s="18">
        <v>2.95</v>
      </c>
      <c r="G250" s="20" t="s">
        <v>4159</v>
      </c>
      <c r="H250" s="19" t="str">
        <f>HYPERLINK("https://elefant.by/catalogue/704345435","Посмотреть на сайте ...")</f>
        <v>Посмотреть на сайте ...</v>
      </c>
    </row>
    <row r="251" spans="1:8" s="16" customFormat="1" x14ac:dyDescent="0.25">
      <c r="A251" s="17">
        <v>241</v>
      </c>
      <c r="B251" s="17" t="s">
        <v>2915</v>
      </c>
      <c r="C251" s="17" t="s">
        <v>3013</v>
      </c>
      <c r="D251" s="18">
        <v>18</v>
      </c>
      <c r="E251" s="18">
        <v>2.39</v>
      </c>
      <c r="F251" s="18">
        <v>2.87</v>
      </c>
      <c r="G251" s="20" t="s">
        <v>4160</v>
      </c>
      <c r="H251" s="19" t="str">
        <f>HYPERLINK("https://elefant.by/catalogue/665847215","Посмотреть на сайте ...")</f>
        <v>Посмотреть на сайте ...</v>
      </c>
    </row>
    <row r="252" spans="1:8" s="16" customFormat="1" x14ac:dyDescent="0.25">
      <c r="A252" s="17">
        <v>242</v>
      </c>
      <c r="B252" s="17" t="s">
        <v>2915</v>
      </c>
      <c r="C252" s="17" t="s">
        <v>3014</v>
      </c>
      <c r="D252" s="18">
        <v>18</v>
      </c>
      <c r="E252" s="18">
        <v>2.4700000000000002</v>
      </c>
      <c r="F252" s="18">
        <v>2.96</v>
      </c>
      <c r="G252" s="20" t="s">
        <v>4161</v>
      </c>
      <c r="H252" s="19" t="str">
        <f>HYPERLINK("https://elefant.by/catalogue/656576328","Посмотреть на сайте ...")</f>
        <v>Посмотреть на сайте ...</v>
      </c>
    </row>
    <row r="253" spans="1:8" s="16" customFormat="1" x14ac:dyDescent="0.25">
      <c r="A253" s="17">
        <v>243</v>
      </c>
      <c r="B253" s="17" t="s">
        <v>2915</v>
      </c>
      <c r="C253" s="17" t="s">
        <v>3015</v>
      </c>
      <c r="D253" s="18">
        <v>18</v>
      </c>
      <c r="E253" s="18">
        <v>2.4700000000000002</v>
      </c>
      <c r="F253" s="18">
        <v>2.96</v>
      </c>
      <c r="G253" s="20" t="s">
        <v>4162</v>
      </c>
      <c r="H253" s="19" t="str">
        <f>HYPERLINK("https://elefant.by/catalogue/665847216","Посмотреть на сайте ...")</f>
        <v>Посмотреть на сайте ...</v>
      </c>
    </row>
    <row r="254" spans="1:8" s="16" customFormat="1" x14ac:dyDescent="0.25">
      <c r="A254" s="17">
        <v>244</v>
      </c>
      <c r="B254" s="17" t="s">
        <v>2915</v>
      </c>
      <c r="C254" s="17" t="s">
        <v>3016</v>
      </c>
      <c r="D254" s="18">
        <v>18</v>
      </c>
      <c r="E254" s="18">
        <v>2.4700000000000002</v>
      </c>
      <c r="F254" s="18">
        <v>2.96</v>
      </c>
      <c r="G254" s="20" t="s">
        <v>4163</v>
      </c>
      <c r="H254" s="19" t="str">
        <f>HYPERLINK("https://elefant.by/catalogue/677425839","Посмотреть на сайте ...")</f>
        <v>Посмотреть на сайте ...</v>
      </c>
    </row>
    <row r="255" spans="1:8" s="16" customFormat="1" x14ac:dyDescent="0.25">
      <c r="A255" s="17">
        <v>245</v>
      </c>
      <c r="B255" s="17" t="s">
        <v>20</v>
      </c>
      <c r="C255" s="17" t="s">
        <v>3017</v>
      </c>
      <c r="D255" s="18">
        <v>16</v>
      </c>
      <c r="E255" s="18">
        <v>2.91</v>
      </c>
      <c r="F255" s="18">
        <v>3.49</v>
      </c>
      <c r="G255" s="20" t="s">
        <v>4164</v>
      </c>
      <c r="H255" s="19" t="str">
        <f>HYPERLINK("https://elefant.by/catalogue/684229170","Посмотреть на сайте ...")</f>
        <v>Посмотреть на сайте ...</v>
      </c>
    </row>
    <row r="256" spans="1:8" s="16" customFormat="1" x14ac:dyDescent="0.25">
      <c r="A256" s="17">
        <v>246</v>
      </c>
      <c r="B256" s="17" t="s">
        <v>20</v>
      </c>
      <c r="C256" s="17" t="s">
        <v>3018</v>
      </c>
      <c r="D256" s="18">
        <v>5</v>
      </c>
      <c r="E256" s="18">
        <v>2.9</v>
      </c>
      <c r="F256" s="18">
        <v>3.48</v>
      </c>
      <c r="G256" s="20" t="s">
        <v>4165</v>
      </c>
      <c r="H256" s="19" t="str">
        <f>HYPERLINK("https://elefant.by/catalogue/667115372","Посмотреть на сайте ...")</f>
        <v>Посмотреть на сайте ...</v>
      </c>
    </row>
    <row r="257" spans="1:8" s="16" customFormat="1" x14ac:dyDescent="0.25">
      <c r="A257" s="17">
        <v>247</v>
      </c>
      <c r="B257" s="17" t="s">
        <v>20</v>
      </c>
      <c r="C257" s="17" t="s">
        <v>3019</v>
      </c>
      <c r="D257" s="18">
        <v>5</v>
      </c>
      <c r="E257" s="18">
        <v>2.91</v>
      </c>
      <c r="F257" s="18">
        <v>3.49</v>
      </c>
      <c r="G257" s="20" t="s">
        <v>4166</v>
      </c>
      <c r="H257" s="19" t="str">
        <f>HYPERLINK("https://elefant.by/catalogue/612624713","Посмотреть на сайте ...")</f>
        <v>Посмотреть на сайте ...</v>
      </c>
    </row>
    <row r="258" spans="1:8" s="16" customFormat="1" x14ac:dyDescent="0.25">
      <c r="A258" s="17">
        <v>248</v>
      </c>
      <c r="B258" s="17" t="s">
        <v>20</v>
      </c>
      <c r="C258" s="17" t="s">
        <v>3020</v>
      </c>
      <c r="D258" s="18">
        <v>4</v>
      </c>
      <c r="E258" s="18">
        <v>3.35</v>
      </c>
      <c r="F258" s="18">
        <v>4.0199999999999996</v>
      </c>
      <c r="G258" s="20" t="s">
        <v>4167</v>
      </c>
      <c r="H258" s="19" t="str">
        <f>HYPERLINK("https://elefant.by/catalogue/612624716","Посмотреть на сайте ...")</f>
        <v>Посмотреть на сайте ...</v>
      </c>
    </row>
    <row r="259" spans="1:8" s="16" customFormat="1" x14ac:dyDescent="0.25">
      <c r="A259" s="17">
        <v>249</v>
      </c>
      <c r="B259" s="17" t="s">
        <v>63</v>
      </c>
      <c r="C259" s="17" t="s">
        <v>3021</v>
      </c>
      <c r="D259" s="18">
        <v>16</v>
      </c>
      <c r="E259" s="18">
        <v>2.42</v>
      </c>
      <c r="F259" s="18">
        <v>2.9</v>
      </c>
      <c r="G259" s="20" t="s">
        <v>4168</v>
      </c>
      <c r="H259" s="19" t="str">
        <f>HYPERLINK("https://elefant.by/catalogue/600990393","Посмотреть на сайте ...")</f>
        <v>Посмотреть на сайте ...</v>
      </c>
    </row>
    <row r="260" spans="1:8" s="16" customFormat="1" x14ac:dyDescent="0.25">
      <c r="A260" s="17">
        <v>250</v>
      </c>
      <c r="B260" s="17" t="s">
        <v>63</v>
      </c>
      <c r="C260" s="17" t="s">
        <v>3022</v>
      </c>
      <c r="D260" s="18">
        <v>16</v>
      </c>
      <c r="E260" s="18">
        <v>2.42</v>
      </c>
      <c r="F260" s="18">
        <v>2.9</v>
      </c>
      <c r="G260" s="20" t="s">
        <v>4169</v>
      </c>
      <c r="H260" s="19" t="str">
        <f>HYPERLINK("https://elefant.by/catalogue/600990395","Посмотреть на сайте ...")</f>
        <v>Посмотреть на сайте ...</v>
      </c>
    </row>
    <row r="261" spans="1:8" s="16" customFormat="1" x14ac:dyDescent="0.25">
      <c r="A261" s="17">
        <v>251</v>
      </c>
      <c r="B261" s="17" t="s">
        <v>63</v>
      </c>
      <c r="C261" s="17" t="s">
        <v>3023</v>
      </c>
      <c r="D261" s="18">
        <v>24</v>
      </c>
      <c r="E261" s="18">
        <v>6.26</v>
      </c>
      <c r="F261" s="18">
        <v>7.51</v>
      </c>
      <c r="G261" s="20" t="s">
        <v>4170</v>
      </c>
      <c r="H261" s="19" t="str">
        <f>HYPERLINK("https://elefant.by/catalogue/533057582","Посмотреть на сайте ...")</f>
        <v>Посмотреть на сайте ...</v>
      </c>
    </row>
    <row r="262" spans="1:8" s="16" customFormat="1" x14ac:dyDescent="0.25">
      <c r="A262" s="17">
        <v>252</v>
      </c>
      <c r="B262" s="17" t="s">
        <v>288</v>
      </c>
      <c r="C262" s="17" t="s">
        <v>289</v>
      </c>
      <c r="D262" s="18">
        <v>20</v>
      </c>
      <c r="E262" s="18">
        <v>11.38</v>
      </c>
      <c r="F262" s="18">
        <v>13.66</v>
      </c>
      <c r="G262" s="20" t="s">
        <v>290</v>
      </c>
      <c r="H262" s="19" t="str">
        <f>HYPERLINK("https://elefant.by/catalogue/623187450","Посмотреть на сайте ...")</f>
        <v>Посмотреть на сайте ...</v>
      </c>
    </row>
    <row r="263" spans="1:8" s="16" customFormat="1" x14ac:dyDescent="0.25">
      <c r="A263" s="17">
        <v>253</v>
      </c>
      <c r="B263" s="17" t="s">
        <v>12</v>
      </c>
      <c r="C263" s="17" t="s">
        <v>3024</v>
      </c>
      <c r="D263" s="18">
        <v>12</v>
      </c>
      <c r="E263" s="18">
        <v>8.75</v>
      </c>
      <c r="F263" s="18">
        <v>10.5</v>
      </c>
      <c r="G263" s="20" t="s">
        <v>4171</v>
      </c>
      <c r="H263" s="19" t="str">
        <f>HYPERLINK("https://elefant.by/catalogue/610080455","Посмотреть на сайте ...")</f>
        <v>Посмотреть на сайте ...</v>
      </c>
    </row>
    <row r="264" spans="1:8" s="16" customFormat="1" x14ac:dyDescent="0.25">
      <c r="A264" s="17">
        <v>254</v>
      </c>
      <c r="B264" s="17" t="s">
        <v>12</v>
      </c>
      <c r="C264" s="17" t="s">
        <v>3025</v>
      </c>
      <c r="D264" s="18">
        <v>12</v>
      </c>
      <c r="E264" s="18">
        <v>9.26</v>
      </c>
      <c r="F264" s="18">
        <v>11.11</v>
      </c>
      <c r="G264" s="20" t="s">
        <v>4172</v>
      </c>
      <c r="H264" s="19" t="str">
        <f>HYPERLINK("https://elefant.by/catalogue/668171785","Посмотреть на сайте ...")</f>
        <v>Посмотреть на сайте ...</v>
      </c>
    </row>
    <row r="265" spans="1:8" s="16" customFormat="1" x14ac:dyDescent="0.25">
      <c r="A265" s="17">
        <v>255</v>
      </c>
      <c r="B265" s="17" t="s">
        <v>12</v>
      </c>
      <c r="C265" s="17" t="s">
        <v>3026</v>
      </c>
      <c r="D265" s="18">
        <v>12</v>
      </c>
      <c r="E265" s="18">
        <v>9.26</v>
      </c>
      <c r="F265" s="18">
        <v>11.11</v>
      </c>
      <c r="G265" s="20" t="s">
        <v>4173</v>
      </c>
      <c r="H265" s="19" t="str">
        <f>HYPERLINK("https://elefant.by/catalogue/668171783","Посмотреть на сайте ...")</f>
        <v>Посмотреть на сайте ...</v>
      </c>
    </row>
    <row r="266" spans="1:8" s="16" customFormat="1" x14ac:dyDescent="0.25">
      <c r="A266" s="17">
        <v>256</v>
      </c>
      <c r="B266" s="17" t="s">
        <v>12</v>
      </c>
      <c r="C266" s="17" t="s">
        <v>3027</v>
      </c>
      <c r="D266" s="18">
        <v>12</v>
      </c>
      <c r="E266" s="18">
        <v>9.26</v>
      </c>
      <c r="F266" s="18">
        <v>11.11</v>
      </c>
      <c r="G266" s="20" t="s">
        <v>4174</v>
      </c>
      <c r="H266" s="19" t="str">
        <f>HYPERLINK("https://elefant.by/catalogue/668171784","Посмотреть на сайте ...")</f>
        <v>Посмотреть на сайте ...</v>
      </c>
    </row>
    <row r="267" spans="1:8" s="16" customFormat="1" x14ac:dyDescent="0.25">
      <c r="A267" s="17">
        <v>257</v>
      </c>
      <c r="B267" s="17" t="s">
        <v>12</v>
      </c>
      <c r="C267" s="17" t="s">
        <v>3028</v>
      </c>
      <c r="D267" s="18">
        <v>12</v>
      </c>
      <c r="E267" s="18">
        <v>8.6999999999999993</v>
      </c>
      <c r="F267" s="18">
        <v>10.44</v>
      </c>
      <c r="G267" s="20" t="s">
        <v>4175</v>
      </c>
      <c r="H267" s="19" t="str">
        <f>HYPERLINK("https://elefant.by/catalogue/668171825","Посмотреть на сайте ...")</f>
        <v>Посмотреть на сайте ...</v>
      </c>
    </row>
    <row r="268" spans="1:8" s="16" customFormat="1" x14ac:dyDescent="0.25">
      <c r="A268" s="17">
        <v>258</v>
      </c>
      <c r="B268" s="17" t="s">
        <v>12</v>
      </c>
      <c r="C268" s="17" t="s">
        <v>3029</v>
      </c>
      <c r="D268" s="18">
        <v>12</v>
      </c>
      <c r="E268" s="18">
        <v>8.6999999999999993</v>
      </c>
      <c r="F268" s="18">
        <v>10.44</v>
      </c>
      <c r="G268" s="20" t="s">
        <v>4176</v>
      </c>
      <c r="H268" s="19" t="str">
        <f>HYPERLINK("https://elefant.by/catalogue/668171827","Посмотреть на сайте ...")</f>
        <v>Посмотреть на сайте ...</v>
      </c>
    </row>
    <row r="269" spans="1:8" s="16" customFormat="1" x14ac:dyDescent="0.25">
      <c r="A269" s="17">
        <v>259</v>
      </c>
      <c r="B269" s="17" t="s">
        <v>12</v>
      </c>
      <c r="C269" s="17" t="s">
        <v>3030</v>
      </c>
      <c r="D269" s="18">
        <v>12</v>
      </c>
      <c r="E269" s="18">
        <v>8.69</v>
      </c>
      <c r="F269" s="18">
        <v>10.43</v>
      </c>
      <c r="G269" s="20" t="s">
        <v>4177</v>
      </c>
      <c r="H269" s="19" t="str">
        <f>HYPERLINK("https://elefant.by/catalogue/668829212","Посмотреть на сайте ...")</f>
        <v>Посмотреть на сайте ...</v>
      </c>
    </row>
    <row r="270" spans="1:8" s="16" customFormat="1" x14ac:dyDescent="0.25">
      <c r="A270" s="17">
        <v>260</v>
      </c>
      <c r="B270" s="17" t="s">
        <v>12</v>
      </c>
      <c r="C270" s="17" t="s">
        <v>3031</v>
      </c>
      <c r="D270" s="18">
        <v>12</v>
      </c>
      <c r="E270" s="18">
        <v>8.69</v>
      </c>
      <c r="F270" s="18">
        <v>10.43</v>
      </c>
      <c r="G270" s="20" t="s">
        <v>4178</v>
      </c>
      <c r="H270" s="19" t="str">
        <f>HYPERLINK("https://elefant.by/catalogue/668829211","Посмотреть на сайте ...")</f>
        <v>Посмотреть на сайте ...</v>
      </c>
    </row>
    <row r="271" spans="1:8" s="16" customFormat="1" x14ac:dyDescent="0.25">
      <c r="A271" s="17">
        <v>261</v>
      </c>
      <c r="B271" s="17" t="s">
        <v>12</v>
      </c>
      <c r="C271" s="17" t="s">
        <v>3032</v>
      </c>
      <c r="D271" s="18">
        <v>12</v>
      </c>
      <c r="E271" s="18">
        <v>7.86</v>
      </c>
      <c r="F271" s="18">
        <v>9.43</v>
      </c>
      <c r="G271" s="20" t="s">
        <v>4179</v>
      </c>
      <c r="H271" s="19" t="str">
        <f>HYPERLINK("https://elefant.by/catalogue/668697259","Посмотреть на сайте ...")</f>
        <v>Посмотреть на сайте ...</v>
      </c>
    </row>
    <row r="272" spans="1:8" s="16" customFormat="1" x14ac:dyDescent="0.25">
      <c r="A272" s="17">
        <v>262</v>
      </c>
      <c r="B272" s="17" t="s">
        <v>12</v>
      </c>
      <c r="C272" s="17" t="s">
        <v>3033</v>
      </c>
      <c r="D272" s="18">
        <v>12</v>
      </c>
      <c r="E272" s="18">
        <v>7.86</v>
      </c>
      <c r="F272" s="18">
        <v>9.43</v>
      </c>
      <c r="G272" s="20" t="s">
        <v>4180</v>
      </c>
      <c r="H272" s="19" t="str">
        <f>HYPERLINK("https://elefant.by/catalogue/668697261","Посмотреть на сайте ...")</f>
        <v>Посмотреть на сайте ...</v>
      </c>
    </row>
    <row r="273" spans="1:8" s="16" customFormat="1" x14ac:dyDescent="0.25">
      <c r="A273" s="17">
        <v>263</v>
      </c>
      <c r="B273" s="17" t="s">
        <v>12</v>
      </c>
      <c r="C273" s="17" t="s">
        <v>3034</v>
      </c>
      <c r="D273" s="18">
        <v>12</v>
      </c>
      <c r="E273" s="18">
        <v>8.61</v>
      </c>
      <c r="F273" s="18">
        <v>10.33</v>
      </c>
      <c r="G273" s="20" t="s">
        <v>4181</v>
      </c>
      <c r="H273" s="19" t="str">
        <f>HYPERLINK("https://elefant.by/catalogue/668697258","Посмотреть на сайте ...")</f>
        <v>Посмотреть на сайте ...</v>
      </c>
    </row>
    <row r="274" spans="1:8" s="16" customFormat="1" x14ac:dyDescent="0.25">
      <c r="A274" s="17">
        <v>264</v>
      </c>
      <c r="B274" s="17" t="s">
        <v>12</v>
      </c>
      <c r="C274" s="17" t="s">
        <v>3035</v>
      </c>
      <c r="D274" s="18">
        <v>12</v>
      </c>
      <c r="E274" s="18">
        <v>8.61</v>
      </c>
      <c r="F274" s="18">
        <v>10.33</v>
      </c>
      <c r="G274" s="20" t="s">
        <v>4182</v>
      </c>
      <c r="H274" s="19" t="str">
        <f>HYPERLINK("https://elefant.by/catalogue/668697256","Посмотреть на сайте ...")</f>
        <v>Посмотреть на сайте ...</v>
      </c>
    </row>
    <row r="275" spans="1:8" s="16" customFormat="1" x14ac:dyDescent="0.25">
      <c r="A275" s="17">
        <v>265</v>
      </c>
      <c r="B275" s="17" t="s">
        <v>12</v>
      </c>
      <c r="C275" s="17" t="s">
        <v>3036</v>
      </c>
      <c r="D275" s="18">
        <v>12</v>
      </c>
      <c r="E275" s="18">
        <v>8.61</v>
      </c>
      <c r="F275" s="18">
        <v>10.33</v>
      </c>
      <c r="G275" s="20" t="s">
        <v>4183</v>
      </c>
      <c r="H275" s="19" t="str">
        <f>HYPERLINK("https://elefant.by/catalogue/668697257","Посмотреть на сайте ...")</f>
        <v>Посмотреть на сайте ...</v>
      </c>
    </row>
    <row r="276" spans="1:8" s="16" customFormat="1" x14ac:dyDescent="0.25">
      <c r="A276" s="17">
        <v>266</v>
      </c>
      <c r="B276" s="17" t="s">
        <v>12</v>
      </c>
      <c r="C276" s="17" t="s">
        <v>3037</v>
      </c>
      <c r="D276" s="18">
        <v>12</v>
      </c>
      <c r="E276" s="18">
        <v>8.2100000000000009</v>
      </c>
      <c r="F276" s="18">
        <v>9.85</v>
      </c>
      <c r="G276" s="20" t="s">
        <v>4184</v>
      </c>
      <c r="H276" s="19" t="str">
        <f>HYPERLINK("https://elefant.by/catalogue/668829215","Посмотреть на сайте ...")</f>
        <v>Посмотреть на сайте ...</v>
      </c>
    </row>
    <row r="277" spans="1:8" s="16" customFormat="1" x14ac:dyDescent="0.25">
      <c r="A277" s="17">
        <v>267</v>
      </c>
      <c r="B277" s="17" t="s">
        <v>12</v>
      </c>
      <c r="C277" s="17" t="s">
        <v>3038</v>
      </c>
      <c r="D277" s="18">
        <v>24</v>
      </c>
      <c r="E277" s="18">
        <v>9.01</v>
      </c>
      <c r="F277" s="18">
        <v>10.81</v>
      </c>
      <c r="G277" s="20" t="s">
        <v>4185</v>
      </c>
      <c r="H277" s="19" t="str">
        <f>HYPERLINK("https://elefant.by/catalogue/665730759","Посмотреть на сайте ...")</f>
        <v>Посмотреть на сайте ...</v>
      </c>
    </row>
    <row r="278" spans="1:8" s="16" customFormat="1" x14ac:dyDescent="0.25">
      <c r="A278" s="17">
        <v>268</v>
      </c>
      <c r="B278" s="17" t="s">
        <v>12</v>
      </c>
      <c r="C278" s="17" t="s">
        <v>3039</v>
      </c>
      <c r="D278" s="18">
        <v>24</v>
      </c>
      <c r="E278" s="18">
        <v>9.01</v>
      </c>
      <c r="F278" s="18">
        <v>10.81</v>
      </c>
      <c r="G278" s="20" t="s">
        <v>4186</v>
      </c>
      <c r="H278" s="19" t="str">
        <f>HYPERLINK("https://elefant.by/catalogue/662895011","Посмотреть на сайте ...")</f>
        <v>Посмотреть на сайте ...</v>
      </c>
    </row>
    <row r="279" spans="1:8" s="16" customFormat="1" x14ac:dyDescent="0.25">
      <c r="A279" s="17">
        <v>269</v>
      </c>
      <c r="B279" s="17" t="s">
        <v>12</v>
      </c>
      <c r="C279" s="17" t="s">
        <v>3040</v>
      </c>
      <c r="D279" s="18">
        <v>24</v>
      </c>
      <c r="E279" s="18">
        <v>9.01</v>
      </c>
      <c r="F279" s="18">
        <v>10.81</v>
      </c>
      <c r="G279" s="20" t="s">
        <v>4187</v>
      </c>
      <c r="H279" s="19" t="str">
        <f>HYPERLINK("https://elefant.by/catalogue/662895010","Посмотреть на сайте ...")</f>
        <v>Посмотреть на сайте ...</v>
      </c>
    </row>
    <row r="280" spans="1:8" s="16" customFormat="1" x14ac:dyDescent="0.25">
      <c r="A280" s="17">
        <v>270</v>
      </c>
      <c r="B280" s="17" t="s">
        <v>2915</v>
      </c>
      <c r="C280" s="17" t="s">
        <v>3041</v>
      </c>
      <c r="D280" s="18">
        <v>20</v>
      </c>
      <c r="E280" s="18">
        <v>9.74</v>
      </c>
      <c r="F280" s="18">
        <v>11.69</v>
      </c>
      <c r="G280" s="20" t="s">
        <v>4188</v>
      </c>
      <c r="H280" s="19" t="str">
        <f>HYPERLINK("https://elefant.by/catalogue/704345439","Посмотреть на сайте ...")</f>
        <v>Посмотреть на сайте ...</v>
      </c>
    </row>
    <row r="281" spans="1:8" s="16" customFormat="1" x14ac:dyDescent="0.25">
      <c r="A281" s="17">
        <v>271</v>
      </c>
      <c r="B281" s="17" t="s">
        <v>2915</v>
      </c>
      <c r="C281" s="17" t="s">
        <v>3042</v>
      </c>
      <c r="D281" s="18">
        <v>12</v>
      </c>
      <c r="E281" s="18">
        <v>6.98</v>
      </c>
      <c r="F281" s="18">
        <v>8.3800000000000008</v>
      </c>
      <c r="G281" s="20" t="s">
        <v>4189</v>
      </c>
      <c r="H281" s="19" t="str">
        <f>HYPERLINK("https://elefant.by/catalogue/704345437","Посмотреть на сайте ...")</f>
        <v>Посмотреть на сайте ...</v>
      </c>
    </row>
    <row r="282" spans="1:8" s="16" customFormat="1" x14ac:dyDescent="0.25">
      <c r="A282" s="17">
        <v>272</v>
      </c>
      <c r="B282" s="17" t="s">
        <v>2915</v>
      </c>
      <c r="C282" s="17" t="s">
        <v>3043</v>
      </c>
      <c r="D282" s="18">
        <v>12</v>
      </c>
      <c r="E282" s="18">
        <v>6.98</v>
      </c>
      <c r="F282" s="18">
        <v>8.3800000000000008</v>
      </c>
      <c r="G282" s="20" t="s">
        <v>4190</v>
      </c>
      <c r="H282" s="19" t="str">
        <f>HYPERLINK("https://elefant.by/catalogue/704345438","Посмотреть на сайте ...")</f>
        <v>Посмотреть на сайте ...</v>
      </c>
    </row>
    <row r="283" spans="1:8" s="16" customFormat="1" x14ac:dyDescent="0.25">
      <c r="A283" s="17">
        <v>273</v>
      </c>
      <c r="B283" s="17" t="s">
        <v>2915</v>
      </c>
      <c r="C283" s="17" t="s">
        <v>3044</v>
      </c>
      <c r="D283" s="18">
        <v>12</v>
      </c>
      <c r="E283" s="18">
        <v>9.27</v>
      </c>
      <c r="F283" s="18">
        <v>11.12</v>
      </c>
      <c r="G283" s="20" t="s">
        <v>4191</v>
      </c>
      <c r="H283" s="19" t="str">
        <f>HYPERLINK("https://elefant.by/catalogue/682401737","Посмотреть на сайте ...")</f>
        <v>Посмотреть на сайте ...</v>
      </c>
    </row>
    <row r="284" spans="1:8" s="16" customFormat="1" x14ac:dyDescent="0.25">
      <c r="A284" s="17">
        <v>274</v>
      </c>
      <c r="B284" s="17" t="s">
        <v>2915</v>
      </c>
      <c r="C284" s="17" t="s">
        <v>3045</v>
      </c>
      <c r="D284" s="18">
        <v>12</v>
      </c>
      <c r="E284" s="18">
        <v>9.27</v>
      </c>
      <c r="F284" s="18">
        <v>11.12</v>
      </c>
      <c r="G284" s="20" t="s">
        <v>4192</v>
      </c>
      <c r="H284" s="19" t="str">
        <f>HYPERLINK("https://elefant.by/catalogue/687572901","Посмотреть на сайте ...")</f>
        <v>Посмотреть на сайте ...</v>
      </c>
    </row>
    <row r="285" spans="1:8" s="16" customFormat="1" x14ac:dyDescent="0.25">
      <c r="A285" s="17">
        <v>275</v>
      </c>
      <c r="B285" s="17" t="s">
        <v>2915</v>
      </c>
      <c r="C285" s="17" t="s">
        <v>3046</v>
      </c>
      <c r="D285" s="18">
        <v>12</v>
      </c>
      <c r="E285" s="18">
        <v>6.14</v>
      </c>
      <c r="F285" s="18">
        <v>7.37</v>
      </c>
      <c r="G285" s="20" t="s">
        <v>4193</v>
      </c>
      <c r="H285" s="19" t="str">
        <f>HYPERLINK("https://elefant.by/catalogue/673626718","Посмотреть на сайте ...")</f>
        <v>Посмотреть на сайте ...</v>
      </c>
    </row>
    <row r="286" spans="1:8" s="16" customFormat="1" x14ac:dyDescent="0.25">
      <c r="A286" s="17">
        <v>276</v>
      </c>
      <c r="B286" s="17" t="s">
        <v>2915</v>
      </c>
      <c r="C286" s="17" t="s">
        <v>3047</v>
      </c>
      <c r="D286" s="18">
        <v>12</v>
      </c>
      <c r="E286" s="18">
        <v>6.14</v>
      </c>
      <c r="F286" s="18">
        <v>7.37</v>
      </c>
      <c r="G286" s="20" t="s">
        <v>4194</v>
      </c>
      <c r="H286" s="19" t="str">
        <f>HYPERLINK("https://elefant.by/catalogue/673626719","Посмотреть на сайте ...")</f>
        <v>Посмотреть на сайте ...</v>
      </c>
    </row>
    <row r="287" spans="1:8" s="16" customFormat="1" x14ac:dyDescent="0.25">
      <c r="A287" s="17">
        <v>277</v>
      </c>
      <c r="B287" s="17" t="s">
        <v>2915</v>
      </c>
      <c r="C287" s="17" t="s">
        <v>3048</v>
      </c>
      <c r="D287" s="18">
        <v>12</v>
      </c>
      <c r="E287" s="18">
        <v>6.14</v>
      </c>
      <c r="F287" s="18">
        <v>7.37</v>
      </c>
      <c r="G287" s="20" t="s">
        <v>4195</v>
      </c>
      <c r="H287" s="19" t="str">
        <f>HYPERLINK("https://elefant.by/catalogue/673626720","Посмотреть на сайте ...")</f>
        <v>Посмотреть на сайте ...</v>
      </c>
    </row>
    <row r="288" spans="1:8" s="16" customFormat="1" x14ac:dyDescent="0.25">
      <c r="A288" s="17">
        <v>278</v>
      </c>
      <c r="B288" s="17" t="s">
        <v>2915</v>
      </c>
      <c r="C288" s="17" t="s">
        <v>3049</v>
      </c>
      <c r="D288" s="18">
        <v>12</v>
      </c>
      <c r="E288" s="18">
        <v>6.14</v>
      </c>
      <c r="F288" s="18">
        <v>7.37</v>
      </c>
      <c r="G288" s="20" t="s">
        <v>4196</v>
      </c>
      <c r="H288" s="19" t="str">
        <f>HYPERLINK("https://elefant.by/catalogue/673626722","Посмотреть на сайте ...")</f>
        <v>Посмотреть на сайте ...</v>
      </c>
    </row>
    <row r="289" spans="1:8" s="16" customFormat="1" x14ac:dyDescent="0.25">
      <c r="A289" s="17">
        <v>279</v>
      </c>
      <c r="B289" s="17" t="s">
        <v>2915</v>
      </c>
      <c r="C289" s="17" t="s">
        <v>3050</v>
      </c>
      <c r="D289" s="18">
        <v>12</v>
      </c>
      <c r="E289" s="18">
        <v>6.14</v>
      </c>
      <c r="F289" s="18">
        <v>7.37</v>
      </c>
      <c r="G289" s="20" t="s">
        <v>4197</v>
      </c>
      <c r="H289" s="19" t="str">
        <f>HYPERLINK("https://elefant.by/catalogue/673626723","Посмотреть на сайте ...")</f>
        <v>Посмотреть на сайте ...</v>
      </c>
    </row>
    <row r="290" spans="1:8" s="16" customFormat="1" x14ac:dyDescent="0.25">
      <c r="A290" s="17">
        <v>280</v>
      </c>
      <c r="B290" s="17" t="s">
        <v>2915</v>
      </c>
      <c r="C290" s="17" t="s">
        <v>3051</v>
      </c>
      <c r="D290" s="18">
        <v>12</v>
      </c>
      <c r="E290" s="18">
        <v>6.14</v>
      </c>
      <c r="F290" s="18">
        <v>7.37</v>
      </c>
      <c r="G290" s="20" t="s">
        <v>4198</v>
      </c>
      <c r="H290" s="19" t="str">
        <f>HYPERLINK("https://elefant.by/catalogue/673626721","Посмотреть на сайте ...")</f>
        <v>Посмотреть на сайте ...</v>
      </c>
    </row>
    <row r="291" spans="1:8" s="16" customFormat="1" x14ac:dyDescent="0.25">
      <c r="A291" s="17">
        <v>281</v>
      </c>
      <c r="B291" s="17" t="s">
        <v>9</v>
      </c>
      <c r="C291" s="17" t="s">
        <v>291</v>
      </c>
      <c r="D291" s="18">
        <v>28</v>
      </c>
      <c r="E291" s="18">
        <v>11.08</v>
      </c>
      <c r="F291" s="18">
        <v>13.3</v>
      </c>
      <c r="G291" s="20" t="s">
        <v>292</v>
      </c>
      <c r="H291" s="19" t="str">
        <f>HYPERLINK("https://elefant.by/catalogue/482772961","Посмотреть на сайте ...")</f>
        <v>Посмотреть на сайте ...</v>
      </c>
    </row>
    <row r="292" spans="1:8" s="16" customFormat="1" x14ac:dyDescent="0.25">
      <c r="A292" s="17">
        <v>282</v>
      </c>
      <c r="B292" s="17" t="s">
        <v>11</v>
      </c>
      <c r="C292" s="17" t="s">
        <v>293</v>
      </c>
      <c r="D292" s="18">
        <v>4</v>
      </c>
      <c r="E292" s="18">
        <v>2.4700000000000002</v>
      </c>
      <c r="F292" s="18">
        <v>2.96</v>
      </c>
      <c r="G292" s="20" t="s">
        <v>294</v>
      </c>
      <c r="H292" s="19" t="str">
        <f>HYPERLINK("https://elefant.by/catalogue/176460411","Посмотреть на сайте ...")</f>
        <v>Посмотреть на сайте ...</v>
      </c>
    </row>
    <row r="293" spans="1:8" s="16" customFormat="1" x14ac:dyDescent="0.25">
      <c r="A293" s="17">
        <v>283</v>
      </c>
      <c r="B293" s="17" t="s">
        <v>11</v>
      </c>
      <c r="C293" s="17" t="s">
        <v>295</v>
      </c>
      <c r="D293" s="18">
        <v>4</v>
      </c>
      <c r="E293" s="18">
        <v>2.4700000000000002</v>
      </c>
      <c r="F293" s="18">
        <v>2.96</v>
      </c>
      <c r="G293" s="20" t="s">
        <v>296</v>
      </c>
      <c r="H293" s="19" t="str">
        <f>HYPERLINK("https://elefant.by/catalogue/176460406","Посмотреть на сайте ...")</f>
        <v>Посмотреть на сайте ...</v>
      </c>
    </row>
    <row r="294" spans="1:8" s="16" customFormat="1" x14ac:dyDescent="0.25">
      <c r="A294" s="17">
        <v>284</v>
      </c>
      <c r="B294" s="17" t="s">
        <v>11</v>
      </c>
      <c r="C294" s="17" t="s">
        <v>297</v>
      </c>
      <c r="D294" s="18">
        <v>4</v>
      </c>
      <c r="E294" s="18">
        <v>2.4700000000000002</v>
      </c>
      <c r="F294" s="18">
        <v>2.96</v>
      </c>
      <c r="G294" s="20" t="s">
        <v>298</v>
      </c>
      <c r="H294" s="19" t="str">
        <f>HYPERLINK("https://elefant.by/catalogue/176460407","Посмотреть на сайте ...")</f>
        <v>Посмотреть на сайте ...</v>
      </c>
    </row>
    <row r="295" spans="1:8" s="16" customFormat="1" x14ac:dyDescent="0.25">
      <c r="A295" s="17">
        <v>285</v>
      </c>
      <c r="B295" s="17" t="s">
        <v>11</v>
      </c>
      <c r="C295" s="17" t="s">
        <v>299</v>
      </c>
      <c r="D295" s="18">
        <v>4</v>
      </c>
      <c r="E295" s="18">
        <v>2.4700000000000002</v>
      </c>
      <c r="F295" s="18">
        <v>2.96</v>
      </c>
      <c r="G295" s="20" t="s">
        <v>300</v>
      </c>
      <c r="H295" s="19" t="str">
        <f>HYPERLINK("https://elefant.by/catalogue/176833394","Посмотреть на сайте ...")</f>
        <v>Посмотреть на сайте ...</v>
      </c>
    </row>
    <row r="296" spans="1:8" s="16" customFormat="1" x14ac:dyDescent="0.25">
      <c r="A296" s="17">
        <v>286</v>
      </c>
      <c r="B296" s="17" t="s">
        <v>11</v>
      </c>
      <c r="C296" s="17" t="s">
        <v>301</v>
      </c>
      <c r="D296" s="18">
        <v>4</v>
      </c>
      <c r="E296" s="18">
        <v>2.4700000000000002</v>
      </c>
      <c r="F296" s="18">
        <v>2.96</v>
      </c>
      <c r="G296" s="20" t="s">
        <v>302</v>
      </c>
      <c r="H296" s="19" t="str">
        <f>HYPERLINK("https://elefant.by/catalogue/176460408","Посмотреть на сайте ...")</f>
        <v>Посмотреть на сайте ...</v>
      </c>
    </row>
    <row r="297" spans="1:8" s="16" customFormat="1" x14ac:dyDescent="0.25">
      <c r="A297" s="17">
        <v>287</v>
      </c>
      <c r="B297" s="17" t="s">
        <v>11</v>
      </c>
      <c r="C297" s="17" t="s">
        <v>303</v>
      </c>
      <c r="D297" s="18">
        <v>4</v>
      </c>
      <c r="E297" s="18">
        <v>2.4700000000000002</v>
      </c>
      <c r="F297" s="18">
        <v>2.96</v>
      </c>
      <c r="G297" s="20" t="s">
        <v>304</v>
      </c>
      <c r="H297" s="19" t="str">
        <f>HYPERLINK("https://elefant.by/catalogue/176833395","Посмотреть на сайте ...")</f>
        <v>Посмотреть на сайте ...</v>
      </c>
    </row>
    <row r="298" spans="1:8" s="16" customFormat="1" x14ac:dyDescent="0.25">
      <c r="A298" s="17">
        <v>288</v>
      </c>
      <c r="B298" s="17" t="s">
        <v>11</v>
      </c>
      <c r="C298" s="17" t="s">
        <v>305</v>
      </c>
      <c r="D298" s="18">
        <v>4</v>
      </c>
      <c r="E298" s="18">
        <v>2.4700000000000002</v>
      </c>
      <c r="F298" s="18">
        <v>2.96</v>
      </c>
      <c r="G298" s="20" t="s">
        <v>306</v>
      </c>
      <c r="H298" s="19" t="str">
        <f>HYPERLINK("https://elefant.by/catalogue/176833397","Посмотреть на сайте ...")</f>
        <v>Посмотреть на сайте ...</v>
      </c>
    </row>
    <row r="299" spans="1:8" s="16" customFormat="1" x14ac:dyDescent="0.25">
      <c r="A299" s="17">
        <v>289</v>
      </c>
      <c r="B299" s="17" t="s">
        <v>11</v>
      </c>
      <c r="C299" s="17" t="s">
        <v>307</v>
      </c>
      <c r="D299" s="18">
        <v>4</v>
      </c>
      <c r="E299" s="18">
        <v>2.4700000000000002</v>
      </c>
      <c r="F299" s="18">
        <v>2.96</v>
      </c>
      <c r="G299" s="20" t="s">
        <v>308</v>
      </c>
      <c r="H299" s="19" t="str">
        <f>HYPERLINK("https://elefant.by/catalogue/176460410","Посмотреть на сайте ...")</f>
        <v>Посмотреть на сайте ...</v>
      </c>
    </row>
    <row r="300" spans="1:8" s="16" customFormat="1" x14ac:dyDescent="0.25">
      <c r="A300" s="17">
        <v>290</v>
      </c>
      <c r="B300" s="17" t="s">
        <v>2915</v>
      </c>
      <c r="C300" s="17" t="s">
        <v>3052</v>
      </c>
      <c r="D300" s="18">
        <v>20</v>
      </c>
      <c r="E300" s="18">
        <v>1.88</v>
      </c>
      <c r="F300" s="18">
        <v>2.2599999999999998</v>
      </c>
      <c r="G300" s="20" t="s">
        <v>4199</v>
      </c>
      <c r="H300" s="19" t="str">
        <f>HYPERLINK("https://elefant.by/catalogue/665847213","Посмотреть на сайте ...")</f>
        <v>Посмотреть на сайте ...</v>
      </c>
    </row>
    <row r="301" spans="1:8" s="16" customFormat="1" x14ac:dyDescent="0.25">
      <c r="A301" s="17">
        <v>291</v>
      </c>
      <c r="B301" s="17" t="s">
        <v>2915</v>
      </c>
      <c r="C301" s="17" t="s">
        <v>3053</v>
      </c>
      <c r="D301" s="18">
        <v>20</v>
      </c>
      <c r="E301" s="18">
        <v>1.88</v>
      </c>
      <c r="F301" s="18">
        <v>2.2599999999999998</v>
      </c>
      <c r="G301" s="20" t="s">
        <v>4200</v>
      </c>
      <c r="H301" s="19" t="str">
        <f>HYPERLINK("https://elefant.by/catalogue/656576326","Посмотреть на сайте ...")</f>
        <v>Посмотреть на сайте ...</v>
      </c>
    </row>
    <row r="302" spans="1:8" s="16" customFormat="1" x14ac:dyDescent="0.25">
      <c r="A302" s="17">
        <v>292</v>
      </c>
      <c r="B302" s="17" t="s">
        <v>2915</v>
      </c>
      <c r="C302" s="17" t="s">
        <v>3054</v>
      </c>
      <c r="D302" s="18">
        <v>20</v>
      </c>
      <c r="E302" s="18">
        <v>1.88</v>
      </c>
      <c r="F302" s="18">
        <v>2.2599999999999998</v>
      </c>
      <c r="G302" s="20" t="s">
        <v>4201</v>
      </c>
      <c r="H302" s="19" t="str">
        <f>HYPERLINK("https://elefant.by/catalogue/682401738","Посмотреть на сайте ...")</f>
        <v>Посмотреть на сайте ...</v>
      </c>
    </row>
    <row r="303" spans="1:8" s="16" customFormat="1" x14ac:dyDescent="0.25">
      <c r="A303" s="17">
        <v>293</v>
      </c>
      <c r="B303" s="17" t="s">
        <v>2915</v>
      </c>
      <c r="C303" s="17" t="s">
        <v>3055</v>
      </c>
      <c r="D303" s="18">
        <v>20</v>
      </c>
      <c r="E303" s="18">
        <v>1.88</v>
      </c>
      <c r="F303" s="18">
        <v>2.2599999999999998</v>
      </c>
      <c r="G303" s="20" t="s">
        <v>4202</v>
      </c>
      <c r="H303" s="19" t="str">
        <f>HYPERLINK("https://elefant.by/catalogue/656576324","Посмотреть на сайте ...")</f>
        <v>Посмотреть на сайте ...</v>
      </c>
    </row>
    <row r="304" spans="1:8" s="16" customFormat="1" x14ac:dyDescent="0.25">
      <c r="A304" s="17">
        <v>294</v>
      </c>
      <c r="B304" s="17" t="s">
        <v>2915</v>
      </c>
      <c r="C304" s="17" t="s">
        <v>3056</v>
      </c>
      <c r="D304" s="18">
        <v>20</v>
      </c>
      <c r="E304" s="18">
        <v>1.88</v>
      </c>
      <c r="F304" s="18">
        <v>2.2599999999999998</v>
      </c>
      <c r="G304" s="20" t="s">
        <v>4203</v>
      </c>
      <c r="H304" s="19" t="str">
        <f>HYPERLINK("https://elefant.by/catalogue/677425840","Посмотреть на сайте ...")</f>
        <v>Посмотреть на сайте ...</v>
      </c>
    </row>
    <row r="305" spans="1:8" s="16" customFormat="1" x14ac:dyDescent="0.25">
      <c r="A305" s="17">
        <v>295</v>
      </c>
      <c r="B305" s="17" t="s">
        <v>2915</v>
      </c>
      <c r="C305" s="17" t="s">
        <v>3057</v>
      </c>
      <c r="D305" s="18">
        <v>20</v>
      </c>
      <c r="E305" s="18">
        <v>5.88</v>
      </c>
      <c r="F305" s="18">
        <v>7.06</v>
      </c>
      <c r="G305" s="20" t="s">
        <v>4204</v>
      </c>
      <c r="H305" s="19" t="str">
        <f>HYPERLINK("https://elefant.by/catalogue/687572903","Посмотреть на сайте ...")</f>
        <v>Посмотреть на сайте ...</v>
      </c>
    </row>
    <row r="306" spans="1:8" s="16" customFormat="1" x14ac:dyDescent="0.25">
      <c r="A306" s="17">
        <v>296</v>
      </c>
      <c r="B306" s="17" t="s">
        <v>2915</v>
      </c>
      <c r="C306" s="17" t="s">
        <v>3058</v>
      </c>
      <c r="D306" s="18">
        <v>20</v>
      </c>
      <c r="E306" s="18">
        <v>5.88</v>
      </c>
      <c r="F306" s="18">
        <v>7.06</v>
      </c>
      <c r="G306" s="20" t="s">
        <v>4205</v>
      </c>
      <c r="H306" s="19" t="str">
        <f>HYPERLINK("https://elefant.by/catalogue/687572905","Посмотреть на сайте ...")</f>
        <v>Посмотреть на сайте ...</v>
      </c>
    </row>
    <row r="307" spans="1:8" s="16" customFormat="1" x14ac:dyDescent="0.25">
      <c r="A307" s="17">
        <v>297</v>
      </c>
      <c r="B307" s="17" t="s">
        <v>2915</v>
      </c>
      <c r="C307" s="17" t="s">
        <v>3059</v>
      </c>
      <c r="D307" s="18">
        <v>20</v>
      </c>
      <c r="E307" s="18">
        <v>5.88</v>
      </c>
      <c r="F307" s="18">
        <v>7.06</v>
      </c>
      <c r="G307" s="20" t="s">
        <v>4206</v>
      </c>
      <c r="H307" s="19" t="str">
        <f>HYPERLINK("https://elefant.by/catalogue/687572906","Посмотреть на сайте ...")</f>
        <v>Посмотреть на сайте ...</v>
      </c>
    </row>
    <row r="308" spans="1:8" s="16" customFormat="1" x14ac:dyDescent="0.25">
      <c r="A308" s="17">
        <v>298</v>
      </c>
      <c r="B308" s="17" t="s">
        <v>2915</v>
      </c>
      <c r="C308" s="17" t="s">
        <v>3060</v>
      </c>
      <c r="D308" s="18">
        <v>20</v>
      </c>
      <c r="E308" s="18">
        <v>5.88</v>
      </c>
      <c r="F308" s="18">
        <v>7.06</v>
      </c>
      <c r="G308" s="20" t="s">
        <v>4207</v>
      </c>
      <c r="H308" s="19" t="str">
        <f>HYPERLINK("https://elefant.by/catalogue/687572904","Посмотреть на сайте ...")</f>
        <v>Посмотреть на сайте ...</v>
      </c>
    </row>
    <row r="309" spans="1:8" s="16" customFormat="1" x14ac:dyDescent="0.25">
      <c r="A309" s="17">
        <v>299</v>
      </c>
      <c r="B309" s="17" t="s">
        <v>2915</v>
      </c>
      <c r="C309" s="17" t="s">
        <v>3061</v>
      </c>
      <c r="D309" s="18">
        <v>18</v>
      </c>
      <c r="E309" s="18">
        <v>2.38</v>
      </c>
      <c r="F309" s="18">
        <v>2.86</v>
      </c>
      <c r="G309" s="20" t="s">
        <v>4208</v>
      </c>
      <c r="H309" s="19" t="str">
        <f>HYPERLINK("https://elefant.by/catalogue/665871557","Посмотреть на сайте ...")</f>
        <v>Посмотреть на сайте ...</v>
      </c>
    </row>
    <row r="310" spans="1:8" s="16" customFormat="1" x14ac:dyDescent="0.25">
      <c r="A310" s="17">
        <v>300</v>
      </c>
      <c r="B310" s="17" t="s">
        <v>2915</v>
      </c>
      <c r="C310" s="17" t="s">
        <v>3062</v>
      </c>
      <c r="D310" s="18">
        <v>18</v>
      </c>
      <c r="E310" s="18">
        <v>2.38</v>
      </c>
      <c r="F310" s="18">
        <v>2.86</v>
      </c>
      <c r="G310" s="20" t="s">
        <v>4209</v>
      </c>
      <c r="H310" s="19" t="str">
        <f>HYPERLINK("https://elefant.by/catalogue/673626725","Посмотреть на сайте ...")</f>
        <v>Посмотреть на сайте ...</v>
      </c>
    </row>
    <row r="311" spans="1:8" s="16" customFormat="1" x14ac:dyDescent="0.25">
      <c r="A311" s="17">
        <v>301</v>
      </c>
      <c r="B311" s="17" t="s">
        <v>20</v>
      </c>
      <c r="C311" s="17" t="s">
        <v>3063</v>
      </c>
      <c r="D311" s="18">
        <v>4</v>
      </c>
      <c r="E311" s="18">
        <v>4.6500000000000004</v>
      </c>
      <c r="F311" s="18">
        <v>5.58</v>
      </c>
      <c r="G311" s="20" t="s">
        <v>4210</v>
      </c>
      <c r="H311" s="19" t="str">
        <f>HYPERLINK("https://elefant.by/catalogue/684229171","Посмотреть на сайте ...")</f>
        <v>Посмотреть на сайте ...</v>
      </c>
    </row>
    <row r="312" spans="1:8" s="16" customFormat="1" x14ac:dyDescent="0.25">
      <c r="A312" s="17">
        <v>302</v>
      </c>
      <c r="B312" s="17" t="s">
        <v>20</v>
      </c>
      <c r="C312" s="17" t="s">
        <v>3064</v>
      </c>
      <c r="D312" s="18">
        <v>4</v>
      </c>
      <c r="E312" s="18">
        <v>4.6500000000000004</v>
      </c>
      <c r="F312" s="18">
        <v>5.58</v>
      </c>
      <c r="G312" s="20" t="s">
        <v>4211</v>
      </c>
      <c r="H312" s="19" t="str">
        <f>HYPERLINK("https://elefant.by/catalogue/684237480","Посмотреть на сайте ...")</f>
        <v>Посмотреть на сайте ...</v>
      </c>
    </row>
    <row r="313" spans="1:8" s="16" customFormat="1" x14ac:dyDescent="0.25">
      <c r="A313" s="17">
        <v>303</v>
      </c>
      <c r="B313" s="17" t="s">
        <v>20</v>
      </c>
      <c r="C313" s="17" t="s">
        <v>3065</v>
      </c>
      <c r="D313" s="18">
        <v>4</v>
      </c>
      <c r="E313" s="18">
        <v>4.6500000000000004</v>
      </c>
      <c r="F313" s="18">
        <v>5.58</v>
      </c>
      <c r="G313" s="20" t="s">
        <v>4212</v>
      </c>
      <c r="H313" s="19" t="str">
        <f>HYPERLINK("https://elefant.by/catalogue/684237481","Посмотреть на сайте ...")</f>
        <v>Посмотреть на сайте ...</v>
      </c>
    </row>
    <row r="314" spans="1:8" s="16" customFormat="1" x14ac:dyDescent="0.25">
      <c r="A314" s="17">
        <v>304</v>
      </c>
      <c r="B314" s="17" t="s">
        <v>12</v>
      </c>
      <c r="C314" s="17" t="s">
        <v>3066</v>
      </c>
      <c r="D314" s="18">
        <v>12</v>
      </c>
      <c r="E314" s="18">
        <v>0.05</v>
      </c>
      <c r="F314" s="18">
        <v>0.06</v>
      </c>
      <c r="G314" s="20" t="s">
        <v>309</v>
      </c>
      <c r="H314" s="19" t="str">
        <f>HYPERLINK("https://elefant.by/catalogue/652878579","Посмотреть на сайте ...")</f>
        <v>Посмотреть на сайте ...</v>
      </c>
    </row>
    <row r="315" spans="1:8" s="16" customFormat="1" x14ac:dyDescent="0.25">
      <c r="A315" s="17">
        <v>305</v>
      </c>
      <c r="B315" s="17" t="s">
        <v>12</v>
      </c>
      <c r="C315" s="17" t="s">
        <v>3067</v>
      </c>
      <c r="D315" s="18">
        <v>12</v>
      </c>
      <c r="E315" s="18">
        <v>0.06</v>
      </c>
      <c r="F315" s="18">
        <v>7.0000000000000007E-2</v>
      </c>
      <c r="G315" s="20" t="s">
        <v>310</v>
      </c>
      <c r="H315" s="19" t="str">
        <f>HYPERLINK("https://elefant.by/catalogue/652878580","Посмотреть на сайте ...")</f>
        <v>Посмотреть на сайте ...</v>
      </c>
    </row>
    <row r="316" spans="1:8" s="16" customFormat="1" x14ac:dyDescent="0.25">
      <c r="A316" s="17">
        <v>306</v>
      </c>
      <c r="B316" s="17" t="s">
        <v>12</v>
      </c>
      <c r="C316" s="17" t="s">
        <v>3068</v>
      </c>
      <c r="D316" s="18">
        <v>12</v>
      </c>
      <c r="E316" s="18">
        <v>0.1</v>
      </c>
      <c r="F316" s="18">
        <v>0.12</v>
      </c>
      <c r="G316" s="20" t="s">
        <v>4213</v>
      </c>
      <c r="H316" s="19" t="str">
        <f>HYPERLINK("https://elefant.by/catalogue/652878581","Посмотреть на сайте ...")</f>
        <v>Посмотреть на сайте ...</v>
      </c>
    </row>
    <row r="317" spans="1:8" s="16" customFormat="1" x14ac:dyDescent="0.25">
      <c r="A317" s="17">
        <v>307</v>
      </c>
      <c r="B317" s="17" t="s">
        <v>12</v>
      </c>
      <c r="C317" s="17" t="s">
        <v>3069</v>
      </c>
      <c r="D317" s="18">
        <v>12</v>
      </c>
      <c r="E317" s="18">
        <v>0.15</v>
      </c>
      <c r="F317" s="18">
        <v>0.18</v>
      </c>
      <c r="G317" s="20" t="s">
        <v>311</v>
      </c>
      <c r="H317" s="19" t="str">
        <f>HYPERLINK("https://elefant.by/catalogue/634880192","Посмотреть на сайте ...")</f>
        <v>Посмотреть на сайте ...</v>
      </c>
    </row>
    <row r="318" spans="1:8" s="16" customFormat="1" x14ac:dyDescent="0.25">
      <c r="A318" s="17">
        <v>308</v>
      </c>
      <c r="B318" s="17" t="s">
        <v>12</v>
      </c>
      <c r="C318" s="17" t="s">
        <v>3070</v>
      </c>
      <c r="D318" s="18">
        <v>12</v>
      </c>
      <c r="E318" s="18">
        <v>0.24</v>
      </c>
      <c r="F318" s="18">
        <v>0.28999999999999998</v>
      </c>
      <c r="G318" s="20" t="s">
        <v>312</v>
      </c>
      <c r="H318" s="19" t="str">
        <f>HYPERLINK("https://elefant.by/catalogue/652878582","Посмотреть на сайте ...")</f>
        <v>Посмотреть на сайте ...</v>
      </c>
    </row>
    <row r="319" spans="1:8" s="16" customFormat="1" x14ac:dyDescent="0.25">
      <c r="A319" s="17">
        <v>309</v>
      </c>
      <c r="B319" s="17" t="s">
        <v>12</v>
      </c>
      <c r="C319" s="17" t="s">
        <v>3071</v>
      </c>
      <c r="D319" s="18">
        <v>12</v>
      </c>
      <c r="E319" s="18">
        <v>0.39</v>
      </c>
      <c r="F319" s="18">
        <v>0.47</v>
      </c>
      <c r="G319" s="20" t="s">
        <v>313</v>
      </c>
      <c r="H319" s="19" t="str">
        <f>HYPERLINK("https://elefant.by/catalogue/652878583","Посмотреть на сайте ...")</f>
        <v>Посмотреть на сайте ...</v>
      </c>
    </row>
    <row r="320" spans="1:8" s="16" customFormat="1" x14ac:dyDescent="0.25">
      <c r="A320" s="17">
        <v>310</v>
      </c>
      <c r="B320" s="17" t="s">
        <v>63</v>
      </c>
      <c r="C320" s="17" t="s">
        <v>3072</v>
      </c>
      <c r="D320" s="18">
        <v>12</v>
      </c>
      <c r="E320" s="18">
        <v>0.05</v>
      </c>
      <c r="F320" s="18">
        <v>0.06</v>
      </c>
      <c r="G320" s="20" t="s">
        <v>314</v>
      </c>
      <c r="H320" s="19" t="str">
        <f>HYPERLINK("https://elefant.by/catalogue/451386047","Посмотреть на сайте ...")</f>
        <v>Посмотреть на сайте ...</v>
      </c>
    </row>
    <row r="321" spans="1:8" s="16" customFormat="1" x14ac:dyDescent="0.25">
      <c r="A321" s="17">
        <v>311</v>
      </c>
      <c r="B321" s="17" t="s">
        <v>63</v>
      </c>
      <c r="C321" s="17" t="s">
        <v>3073</v>
      </c>
      <c r="D321" s="18">
        <v>12</v>
      </c>
      <c r="E321" s="18">
        <v>0.06</v>
      </c>
      <c r="F321" s="18">
        <v>7.0000000000000007E-2</v>
      </c>
      <c r="G321" s="20" t="s">
        <v>4214</v>
      </c>
      <c r="H321" s="19" t="str">
        <f>HYPERLINK("https://elefant.by/catalogue/451386048","Посмотреть на сайте ...")</f>
        <v>Посмотреть на сайте ...</v>
      </c>
    </row>
    <row r="322" spans="1:8" s="16" customFormat="1" x14ac:dyDescent="0.25">
      <c r="A322" s="17">
        <v>312</v>
      </c>
      <c r="B322" s="17" t="s">
        <v>63</v>
      </c>
      <c r="C322" s="17" t="s">
        <v>3074</v>
      </c>
      <c r="D322" s="18">
        <v>12</v>
      </c>
      <c r="E322" s="18">
        <v>0.1</v>
      </c>
      <c r="F322" s="18">
        <v>0.12</v>
      </c>
      <c r="G322" s="20" t="s">
        <v>4215</v>
      </c>
      <c r="H322" s="19" t="str">
        <f>HYPERLINK("https://elefant.by/catalogue/451386049","Посмотреть на сайте ...")</f>
        <v>Посмотреть на сайте ...</v>
      </c>
    </row>
    <row r="323" spans="1:8" s="16" customFormat="1" x14ac:dyDescent="0.25">
      <c r="A323" s="17">
        <v>313</v>
      </c>
      <c r="B323" s="17" t="s">
        <v>63</v>
      </c>
      <c r="C323" s="17" t="s">
        <v>3075</v>
      </c>
      <c r="D323" s="18">
        <v>12</v>
      </c>
      <c r="E323" s="18">
        <v>0.13</v>
      </c>
      <c r="F323" s="18">
        <v>0.16</v>
      </c>
      <c r="G323" s="20" t="s">
        <v>315</v>
      </c>
      <c r="H323" s="19" t="str">
        <f>HYPERLINK("https://elefant.by/catalogue/451386050","Посмотреть на сайте ...")</f>
        <v>Посмотреть на сайте ...</v>
      </c>
    </row>
    <row r="324" spans="1:8" s="16" customFormat="1" x14ac:dyDescent="0.25">
      <c r="A324" s="17">
        <v>314</v>
      </c>
      <c r="B324" s="17" t="s">
        <v>63</v>
      </c>
      <c r="C324" s="17" t="s">
        <v>3076</v>
      </c>
      <c r="D324" s="18">
        <v>12</v>
      </c>
      <c r="E324" s="18">
        <v>0.21</v>
      </c>
      <c r="F324" s="18">
        <v>0.25</v>
      </c>
      <c r="G324" s="20" t="s">
        <v>316</v>
      </c>
      <c r="H324" s="19" t="str">
        <f>HYPERLINK("https://elefant.by/catalogue/451386051","Посмотреть на сайте ...")</f>
        <v>Посмотреть на сайте ...</v>
      </c>
    </row>
    <row r="325" spans="1:8" s="16" customFormat="1" x14ac:dyDescent="0.25">
      <c r="A325" s="17">
        <v>315</v>
      </c>
      <c r="B325" s="17" t="s">
        <v>63</v>
      </c>
      <c r="C325" s="17" t="s">
        <v>3077</v>
      </c>
      <c r="D325" s="18">
        <v>12</v>
      </c>
      <c r="E325" s="18">
        <v>0.35</v>
      </c>
      <c r="F325" s="18">
        <v>0.42</v>
      </c>
      <c r="G325" s="20" t="s">
        <v>317</v>
      </c>
      <c r="H325" s="19" t="str">
        <f>HYPERLINK("https://elefant.by/catalogue/451386052","Посмотреть на сайте ...")</f>
        <v>Посмотреть на сайте ...</v>
      </c>
    </row>
    <row r="326" spans="1:8" s="16" customFormat="1" x14ac:dyDescent="0.25">
      <c r="A326" s="17">
        <v>316</v>
      </c>
      <c r="B326" s="17" t="s">
        <v>12</v>
      </c>
      <c r="C326" s="17" t="s">
        <v>319</v>
      </c>
      <c r="D326" s="18">
        <v>24</v>
      </c>
      <c r="E326" s="18">
        <v>6.27</v>
      </c>
      <c r="F326" s="18">
        <v>7.52</v>
      </c>
      <c r="G326" s="20" t="s">
        <v>320</v>
      </c>
      <c r="H326" s="19" t="str">
        <f>HYPERLINK("https://elefant.by/catalogue/626348415","Посмотреть на сайте ...")</f>
        <v>Посмотреть на сайте ...</v>
      </c>
    </row>
    <row r="327" spans="1:8" s="16" customFormat="1" x14ac:dyDescent="0.25">
      <c r="A327" s="17">
        <v>317</v>
      </c>
      <c r="B327" s="17" t="s">
        <v>12</v>
      </c>
      <c r="C327" s="17" t="s">
        <v>3078</v>
      </c>
      <c r="D327" s="18">
        <v>24</v>
      </c>
      <c r="E327" s="18">
        <v>6.06</v>
      </c>
      <c r="F327" s="18">
        <v>7.27</v>
      </c>
      <c r="G327" s="20" t="s">
        <v>4216</v>
      </c>
      <c r="H327" s="19" t="str">
        <f>HYPERLINK("https://elefant.by/catalogue/668829271","Посмотреть на сайте ...")</f>
        <v>Посмотреть на сайте ...</v>
      </c>
    </row>
    <row r="328" spans="1:8" s="16" customFormat="1" x14ac:dyDescent="0.25">
      <c r="A328" s="17">
        <v>318</v>
      </c>
      <c r="B328" s="17" t="s">
        <v>13</v>
      </c>
      <c r="C328" s="17" t="s">
        <v>3079</v>
      </c>
      <c r="D328" s="18">
        <v>6</v>
      </c>
      <c r="E328" s="18">
        <v>2.27</v>
      </c>
      <c r="F328" s="18">
        <v>2.72</v>
      </c>
      <c r="G328" s="20" t="s">
        <v>4217</v>
      </c>
      <c r="H328" s="19" t="str">
        <f>HYPERLINK("https://elefant.by/catalogue/655990078","Посмотреть на сайте ...")</f>
        <v>Посмотреть на сайте ...</v>
      </c>
    </row>
    <row r="329" spans="1:8" s="16" customFormat="1" x14ac:dyDescent="0.25">
      <c r="A329" s="17">
        <v>319</v>
      </c>
      <c r="B329" s="17" t="s">
        <v>13</v>
      </c>
      <c r="C329" s="17" t="s">
        <v>3080</v>
      </c>
      <c r="D329" s="18">
        <v>6</v>
      </c>
      <c r="E329" s="18">
        <v>2.38</v>
      </c>
      <c r="F329" s="18">
        <v>2.86</v>
      </c>
      <c r="G329" s="20" t="s">
        <v>4218</v>
      </c>
      <c r="H329" s="19" t="str">
        <f>HYPERLINK("https://elefant.by/catalogue/655990079","Посмотреть на сайте ...")</f>
        <v>Посмотреть на сайте ...</v>
      </c>
    </row>
    <row r="330" spans="1:8" s="16" customFormat="1" x14ac:dyDescent="0.25">
      <c r="A330" s="17">
        <v>320</v>
      </c>
      <c r="B330" s="17" t="s">
        <v>13</v>
      </c>
      <c r="C330" s="17" t="s">
        <v>3081</v>
      </c>
      <c r="D330" s="18">
        <v>16</v>
      </c>
      <c r="E330" s="18">
        <v>0.87</v>
      </c>
      <c r="F330" s="18">
        <v>1.04</v>
      </c>
      <c r="G330" s="20" t="s">
        <v>4219</v>
      </c>
      <c r="H330" s="19" t="str">
        <f>HYPERLINK("https://elefant.by/catalogue/664463773","Посмотреть на сайте ...")</f>
        <v>Посмотреть на сайте ...</v>
      </c>
    </row>
    <row r="331" spans="1:8" s="16" customFormat="1" x14ac:dyDescent="0.25">
      <c r="A331" s="17">
        <v>321</v>
      </c>
      <c r="B331" s="17" t="s">
        <v>13</v>
      </c>
      <c r="C331" s="17" t="s">
        <v>3082</v>
      </c>
      <c r="D331" s="18">
        <v>16</v>
      </c>
      <c r="E331" s="18">
        <v>0.87</v>
      </c>
      <c r="F331" s="18">
        <v>1.04</v>
      </c>
      <c r="G331" s="20" t="s">
        <v>4220</v>
      </c>
      <c r="H331" s="19" t="str">
        <f>HYPERLINK("https://elefant.by/catalogue/661475042","Посмотреть на сайте ...")</f>
        <v>Посмотреть на сайте ...</v>
      </c>
    </row>
    <row r="332" spans="1:8" s="16" customFormat="1" x14ac:dyDescent="0.25">
      <c r="A332" s="17">
        <v>322</v>
      </c>
      <c r="B332" s="17" t="s">
        <v>13</v>
      </c>
      <c r="C332" s="17" t="s">
        <v>3083</v>
      </c>
      <c r="D332" s="18">
        <v>16</v>
      </c>
      <c r="E332" s="18">
        <v>0.87</v>
      </c>
      <c r="F332" s="18">
        <v>1.04</v>
      </c>
      <c r="G332" s="20" t="s">
        <v>4221</v>
      </c>
      <c r="H332" s="19" t="str">
        <f>HYPERLINK("https://elefant.by/catalogue/661475043","Посмотреть на сайте ...")</f>
        <v>Посмотреть на сайте ...</v>
      </c>
    </row>
    <row r="333" spans="1:8" s="16" customFormat="1" x14ac:dyDescent="0.25">
      <c r="A333" s="17">
        <v>323</v>
      </c>
      <c r="B333" s="17" t="s">
        <v>12</v>
      </c>
      <c r="C333" s="17" t="s">
        <v>3084</v>
      </c>
      <c r="D333" s="18">
        <v>24</v>
      </c>
      <c r="E333" s="18">
        <v>5.07</v>
      </c>
      <c r="F333" s="18">
        <v>6.08</v>
      </c>
      <c r="G333" s="20" t="s">
        <v>4222</v>
      </c>
      <c r="H333" s="19" t="str">
        <f>HYPERLINK("https://elefant.by/catalogue/668829272","Посмотреть на сайте ...")</f>
        <v>Посмотреть на сайте ...</v>
      </c>
    </row>
    <row r="334" spans="1:8" s="16" customFormat="1" x14ac:dyDescent="0.25">
      <c r="A334" s="17">
        <v>324</v>
      </c>
      <c r="B334" s="17" t="s">
        <v>12</v>
      </c>
      <c r="C334" s="17" t="s">
        <v>3085</v>
      </c>
      <c r="D334" s="18">
        <v>24</v>
      </c>
      <c r="E334" s="18">
        <v>5.07</v>
      </c>
      <c r="F334" s="18">
        <v>6.08</v>
      </c>
      <c r="G334" s="20" t="s">
        <v>4223</v>
      </c>
      <c r="H334" s="19" t="str">
        <f>HYPERLINK("https://elefant.by/catalogue/668829273","Посмотреть на сайте ...")</f>
        <v>Посмотреть на сайте ...</v>
      </c>
    </row>
    <row r="335" spans="1:8" s="16" customFormat="1" x14ac:dyDescent="0.25">
      <c r="A335" s="17">
        <v>325</v>
      </c>
      <c r="B335" s="17" t="s">
        <v>12</v>
      </c>
      <c r="C335" s="17" t="s">
        <v>3086</v>
      </c>
      <c r="D335" s="18">
        <v>18</v>
      </c>
      <c r="E335" s="18">
        <v>5.66</v>
      </c>
      <c r="F335" s="18">
        <v>6.79</v>
      </c>
      <c r="G335" s="20" t="s">
        <v>4224</v>
      </c>
      <c r="H335" s="19" t="str">
        <f>HYPERLINK("https://elefant.by/catalogue/665730807","Посмотреть на сайте ...")</f>
        <v>Посмотреть на сайте ...</v>
      </c>
    </row>
    <row r="336" spans="1:8" s="16" customFormat="1" x14ac:dyDescent="0.25">
      <c r="A336" s="17">
        <v>326</v>
      </c>
      <c r="B336" s="17" t="s">
        <v>12</v>
      </c>
      <c r="C336" s="17" t="s">
        <v>3087</v>
      </c>
      <c r="D336" s="18">
        <v>18</v>
      </c>
      <c r="E336" s="18">
        <v>5.66</v>
      </c>
      <c r="F336" s="18">
        <v>6.79</v>
      </c>
      <c r="G336" s="20" t="s">
        <v>4225</v>
      </c>
      <c r="H336" s="19" t="str">
        <f>HYPERLINK("https://elefant.by/catalogue/665730808","Посмотреть на сайте ...")</f>
        <v>Посмотреть на сайте ...</v>
      </c>
    </row>
    <row r="337" spans="1:8" s="16" customFormat="1" x14ac:dyDescent="0.25">
      <c r="A337" s="17">
        <v>327</v>
      </c>
      <c r="B337" s="17" t="s">
        <v>158</v>
      </c>
      <c r="C337" s="17" t="s">
        <v>321</v>
      </c>
      <c r="D337" s="18">
        <v>1</v>
      </c>
      <c r="E337" s="18">
        <v>2.93</v>
      </c>
      <c r="F337" s="18">
        <v>3.52</v>
      </c>
      <c r="G337" s="20"/>
      <c r="H337" s="19" t="str">
        <f>HYPERLINK("https://elefant.by/catalogue/508484653","Посмотреть на сайте ...")</f>
        <v>Посмотреть на сайте ...</v>
      </c>
    </row>
    <row r="338" spans="1:8" s="16" customFormat="1" x14ac:dyDescent="0.25">
      <c r="A338" s="17">
        <v>328</v>
      </c>
      <c r="B338" s="17" t="s">
        <v>322</v>
      </c>
      <c r="C338" s="17" t="s">
        <v>323</v>
      </c>
      <c r="D338" s="18">
        <v>10</v>
      </c>
      <c r="E338" s="18">
        <v>0.59</v>
      </c>
      <c r="F338" s="18">
        <v>0.71</v>
      </c>
      <c r="G338" s="20" t="s">
        <v>324</v>
      </c>
      <c r="H338" s="19" t="str">
        <f>HYPERLINK("https://elefant.by/catalogue/180480504","Посмотреть на сайте ...")</f>
        <v>Посмотреть на сайте ...</v>
      </c>
    </row>
    <row r="339" spans="1:8" s="16" customFormat="1" x14ac:dyDescent="0.25">
      <c r="A339" s="17">
        <v>329</v>
      </c>
      <c r="B339" s="17" t="s">
        <v>12</v>
      </c>
      <c r="C339" s="17" t="s">
        <v>3089</v>
      </c>
      <c r="D339" s="18">
        <v>10</v>
      </c>
      <c r="E339" s="18">
        <v>1.18</v>
      </c>
      <c r="F339" s="18">
        <v>1.42</v>
      </c>
      <c r="G339" s="20" t="s">
        <v>4226</v>
      </c>
      <c r="H339" s="19" t="str">
        <f>HYPERLINK("https://elefant.by/catalogue/663507659","Посмотреть на сайте ...")</f>
        <v>Посмотреть на сайте ...</v>
      </c>
    </row>
    <row r="340" spans="1:8" s="16" customFormat="1" x14ac:dyDescent="0.25">
      <c r="A340" s="17">
        <v>330</v>
      </c>
      <c r="B340" s="17" t="s">
        <v>20</v>
      </c>
      <c r="C340" s="17" t="s">
        <v>3090</v>
      </c>
      <c r="D340" s="18">
        <v>100</v>
      </c>
      <c r="E340" s="18">
        <v>0.04</v>
      </c>
      <c r="F340" s="18">
        <v>0.05</v>
      </c>
      <c r="G340" s="20" t="s">
        <v>4227</v>
      </c>
      <c r="H340" s="19" t="str">
        <f>HYPERLINK("https://elefant.by/catalogue/689758833","Посмотреть на сайте ...")</f>
        <v>Посмотреть на сайте ...</v>
      </c>
    </row>
    <row r="341" spans="1:8" s="16" customFormat="1" x14ac:dyDescent="0.25">
      <c r="A341" s="17">
        <v>331</v>
      </c>
      <c r="B341" s="17" t="s">
        <v>3091</v>
      </c>
      <c r="C341" s="17" t="s">
        <v>3092</v>
      </c>
      <c r="D341" s="18">
        <v>72</v>
      </c>
      <c r="E341" s="18">
        <v>0.06</v>
      </c>
      <c r="F341" s="18">
        <v>7.0000000000000007E-2</v>
      </c>
      <c r="G341" s="20" t="s">
        <v>4228</v>
      </c>
      <c r="H341" s="19" t="str">
        <f>HYPERLINK("https://elefant.by/catalogue/689921709","Посмотреть на сайте ...")</f>
        <v>Посмотреть на сайте ...</v>
      </c>
    </row>
    <row r="342" spans="1:8" s="16" customFormat="1" x14ac:dyDescent="0.25">
      <c r="A342" s="17">
        <v>332</v>
      </c>
      <c r="B342" s="17" t="s">
        <v>14</v>
      </c>
      <c r="C342" s="17" t="s">
        <v>3093</v>
      </c>
      <c r="D342" s="18">
        <v>24</v>
      </c>
      <c r="E342" s="18">
        <v>2.02</v>
      </c>
      <c r="F342" s="18">
        <v>2.42</v>
      </c>
      <c r="G342" s="20" t="s">
        <v>4229</v>
      </c>
      <c r="H342" s="19" t="str">
        <f>HYPERLINK("https://elefant.by/catalogue/686605550","Посмотреть на сайте ...")</f>
        <v>Посмотреть на сайте ...</v>
      </c>
    </row>
    <row r="343" spans="1:8" s="16" customFormat="1" x14ac:dyDescent="0.25">
      <c r="A343" s="17">
        <v>333</v>
      </c>
      <c r="B343" s="17" t="s">
        <v>14</v>
      </c>
      <c r="C343" s="17" t="s">
        <v>3094</v>
      </c>
      <c r="D343" s="18">
        <v>20</v>
      </c>
      <c r="E343" s="18">
        <v>1.95</v>
      </c>
      <c r="F343" s="18">
        <v>2.34</v>
      </c>
      <c r="G343" s="20" t="s">
        <v>4230</v>
      </c>
      <c r="H343" s="19" t="str">
        <f>HYPERLINK("https://elefant.by/catalogue/683463533","Посмотреть на сайте ...")</f>
        <v>Посмотреть на сайте ...</v>
      </c>
    </row>
    <row r="344" spans="1:8" s="16" customFormat="1" x14ac:dyDescent="0.25">
      <c r="A344" s="17">
        <v>334</v>
      </c>
      <c r="B344" s="17" t="s">
        <v>10</v>
      </c>
      <c r="C344" s="17" t="s">
        <v>325</v>
      </c>
      <c r="D344" s="18">
        <v>25</v>
      </c>
      <c r="E344" s="18">
        <v>4.79</v>
      </c>
      <c r="F344" s="18">
        <v>5.75</v>
      </c>
      <c r="G344" s="20" t="s">
        <v>326</v>
      </c>
      <c r="H344" s="19" t="str">
        <f>HYPERLINK("https://elefant.by/catalogue/148960530","Посмотреть на сайте ...")</f>
        <v>Посмотреть на сайте ...</v>
      </c>
    </row>
    <row r="345" spans="1:8" s="16" customFormat="1" x14ac:dyDescent="0.25">
      <c r="A345" s="17">
        <v>335</v>
      </c>
      <c r="B345" s="17" t="s">
        <v>10</v>
      </c>
      <c r="C345" s="17" t="s">
        <v>327</v>
      </c>
      <c r="D345" s="18">
        <v>30</v>
      </c>
      <c r="E345" s="18">
        <v>4.0599999999999996</v>
      </c>
      <c r="F345" s="18">
        <v>4.87</v>
      </c>
      <c r="G345" s="20" t="s">
        <v>328</v>
      </c>
      <c r="H345" s="19" t="str">
        <f>HYPERLINK("https://elefant.by/catalogue/147108505","Посмотреть на сайте ...")</f>
        <v>Посмотреть на сайте ...</v>
      </c>
    </row>
    <row r="346" spans="1:8" s="16" customFormat="1" x14ac:dyDescent="0.25">
      <c r="A346" s="17">
        <v>336</v>
      </c>
      <c r="B346" s="17" t="s">
        <v>10</v>
      </c>
      <c r="C346" s="17" t="s">
        <v>329</v>
      </c>
      <c r="D346" s="18">
        <v>10</v>
      </c>
      <c r="E346" s="18">
        <v>23.43</v>
      </c>
      <c r="F346" s="18">
        <v>28.12</v>
      </c>
      <c r="G346" s="20" t="s">
        <v>330</v>
      </c>
      <c r="H346" s="19" t="str">
        <f>HYPERLINK("https://elefant.by/catalogue/165139741","Посмотреть на сайте ...")</f>
        <v>Посмотреть на сайте ...</v>
      </c>
    </row>
    <row r="347" spans="1:8" s="16" customFormat="1" x14ac:dyDescent="0.25">
      <c r="A347" s="17">
        <v>337</v>
      </c>
      <c r="B347" s="17" t="s">
        <v>10</v>
      </c>
      <c r="C347" s="17" t="s">
        <v>331</v>
      </c>
      <c r="D347" s="18">
        <v>10</v>
      </c>
      <c r="E347" s="18">
        <v>5.0599999999999996</v>
      </c>
      <c r="F347" s="18">
        <v>6.07</v>
      </c>
      <c r="G347" s="20" t="s">
        <v>332</v>
      </c>
      <c r="H347" s="19" t="str">
        <f>HYPERLINK("https://elefant.by/catalogue/170372553","Посмотреть на сайте ...")</f>
        <v>Посмотреть на сайте ...</v>
      </c>
    </row>
    <row r="348" spans="1:8" s="16" customFormat="1" x14ac:dyDescent="0.25">
      <c r="A348" s="17">
        <v>338</v>
      </c>
      <c r="B348" s="17" t="s">
        <v>10</v>
      </c>
      <c r="C348" s="17" t="s">
        <v>333</v>
      </c>
      <c r="D348" s="18">
        <v>10</v>
      </c>
      <c r="E348" s="18">
        <v>6.36</v>
      </c>
      <c r="F348" s="18">
        <v>7.63</v>
      </c>
      <c r="G348" s="20" t="s">
        <v>334</v>
      </c>
      <c r="H348" s="19" t="str">
        <f>HYPERLINK("https://elefant.by/catalogue/171510268","Посмотреть на сайте ...")</f>
        <v>Посмотреть на сайте ...</v>
      </c>
    </row>
    <row r="349" spans="1:8" s="16" customFormat="1" x14ac:dyDescent="0.25">
      <c r="A349" s="17">
        <v>339</v>
      </c>
      <c r="B349" s="17" t="s">
        <v>10</v>
      </c>
      <c r="C349" s="17" t="s">
        <v>335</v>
      </c>
      <c r="D349" s="18">
        <v>20</v>
      </c>
      <c r="E349" s="18">
        <v>3.88</v>
      </c>
      <c r="F349" s="18">
        <v>4.66</v>
      </c>
      <c r="G349" s="20" t="s">
        <v>336</v>
      </c>
      <c r="H349" s="19" t="str">
        <f>HYPERLINK("https://elefant.by/catalogue/170372554","Посмотреть на сайте ...")</f>
        <v>Посмотреть на сайте ...</v>
      </c>
    </row>
    <row r="350" spans="1:8" s="16" customFormat="1" x14ac:dyDescent="0.25">
      <c r="A350" s="17">
        <v>340</v>
      </c>
      <c r="B350" s="17" t="s">
        <v>10</v>
      </c>
      <c r="C350" s="17" t="s">
        <v>337</v>
      </c>
      <c r="D350" s="18">
        <v>20</v>
      </c>
      <c r="E350" s="18">
        <v>2.04</v>
      </c>
      <c r="F350" s="18">
        <v>2.4500000000000002</v>
      </c>
      <c r="G350" s="20" t="s">
        <v>338</v>
      </c>
      <c r="H350" s="19" t="str">
        <f>HYPERLINK("https://elefant.by/catalogue/174429362","Посмотреть на сайте ...")</f>
        <v>Посмотреть на сайте ...</v>
      </c>
    </row>
    <row r="351" spans="1:8" s="16" customFormat="1" x14ac:dyDescent="0.25">
      <c r="A351" s="17">
        <v>341</v>
      </c>
      <c r="B351" s="17" t="s">
        <v>339</v>
      </c>
      <c r="C351" s="17" t="s">
        <v>340</v>
      </c>
      <c r="D351" s="18">
        <v>5</v>
      </c>
      <c r="E351" s="18">
        <v>11.72</v>
      </c>
      <c r="F351" s="18">
        <v>14.06</v>
      </c>
      <c r="G351" s="20" t="s">
        <v>341</v>
      </c>
      <c r="H351" s="19" t="str">
        <f>HYPERLINK("https://elefant.by/catalogue/593785526","Посмотреть на сайте ...")</f>
        <v>Посмотреть на сайте ...</v>
      </c>
    </row>
    <row r="352" spans="1:8" s="16" customFormat="1" x14ac:dyDescent="0.25">
      <c r="A352" s="17">
        <v>342</v>
      </c>
      <c r="B352" s="17" t="s">
        <v>339</v>
      </c>
      <c r="C352" s="17" t="s">
        <v>342</v>
      </c>
      <c r="D352" s="18">
        <v>5</v>
      </c>
      <c r="E352" s="18">
        <v>12.94</v>
      </c>
      <c r="F352" s="18">
        <v>15.53</v>
      </c>
      <c r="G352" s="20" t="s">
        <v>343</v>
      </c>
      <c r="H352" s="19" t="str">
        <f>HYPERLINK("https://elefant.by/catalogue/615072798","Посмотреть на сайте ...")</f>
        <v>Посмотреть на сайте ...</v>
      </c>
    </row>
    <row r="353" spans="1:8" s="16" customFormat="1" x14ac:dyDescent="0.25">
      <c r="A353" s="17">
        <v>343</v>
      </c>
      <c r="B353" s="17" t="s">
        <v>339</v>
      </c>
      <c r="C353" s="17" t="s">
        <v>344</v>
      </c>
      <c r="D353" s="18">
        <v>5</v>
      </c>
      <c r="E353" s="18">
        <v>13.54</v>
      </c>
      <c r="F353" s="18">
        <v>16.25</v>
      </c>
      <c r="G353" s="20" t="s">
        <v>345</v>
      </c>
      <c r="H353" s="19" t="str">
        <f>HYPERLINK("https://elefant.by/catalogue/591202121","Посмотреть на сайте ...")</f>
        <v>Посмотреть на сайте ...</v>
      </c>
    </row>
    <row r="354" spans="1:8" s="16" customFormat="1" x14ac:dyDescent="0.25">
      <c r="A354" s="17">
        <v>344</v>
      </c>
      <c r="B354" s="17" t="s">
        <v>339</v>
      </c>
      <c r="C354" s="17" t="s">
        <v>346</v>
      </c>
      <c r="D354" s="18">
        <v>5</v>
      </c>
      <c r="E354" s="18">
        <v>6.87</v>
      </c>
      <c r="F354" s="18">
        <v>8.24</v>
      </c>
      <c r="G354" s="20" t="s">
        <v>347</v>
      </c>
      <c r="H354" s="19" t="str">
        <f>HYPERLINK("https://elefant.by/catalogue/596558535","Посмотреть на сайте ...")</f>
        <v>Посмотреть на сайте ...</v>
      </c>
    </row>
    <row r="355" spans="1:8" s="16" customFormat="1" x14ac:dyDescent="0.25">
      <c r="A355" s="17">
        <v>345</v>
      </c>
      <c r="B355" s="17" t="s">
        <v>339</v>
      </c>
      <c r="C355" s="17" t="s">
        <v>348</v>
      </c>
      <c r="D355" s="18">
        <v>5</v>
      </c>
      <c r="E355" s="18">
        <v>6.95</v>
      </c>
      <c r="F355" s="18">
        <v>8.34</v>
      </c>
      <c r="G355" s="20" t="s">
        <v>349</v>
      </c>
      <c r="H355" s="19" t="str">
        <f>HYPERLINK("https://elefant.by/catalogue/513031650","Посмотреть на сайте ...")</f>
        <v>Посмотреть на сайте ...</v>
      </c>
    </row>
    <row r="356" spans="1:8" s="16" customFormat="1" x14ac:dyDescent="0.25">
      <c r="A356" s="17">
        <v>346</v>
      </c>
      <c r="B356" s="17" t="s">
        <v>339</v>
      </c>
      <c r="C356" s="17" t="s">
        <v>350</v>
      </c>
      <c r="D356" s="18">
        <v>5</v>
      </c>
      <c r="E356" s="18">
        <v>6.71</v>
      </c>
      <c r="F356" s="18">
        <v>8.0500000000000007</v>
      </c>
      <c r="G356" s="20" t="s">
        <v>351</v>
      </c>
      <c r="H356" s="19" t="str">
        <f>HYPERLINK("https://elefant.by/catalogue/579532779","Посмотреть на сайте ...")</f>
        <v>Посмотреть на сайте ...</v>
      </c>
    </row>
    <row r="357" spans="1:8" s="16" customFormat="1" x14ac:dyDescent="0.25">
      <c r="A357" s="17">
        <v>347</v>
      </c>
      <c r="B357" s="17" t="s">
        <v>339</v>
      </c>
      <c r="C357" s="17" t="s">
        <v>352</v>
      </c>
      <c r="D357" s="18">
        <v>5</v>
      </c>
      <c r="E357" s="18">
        <v>5.29</v>
      </c>
      <c r="F357" s="18">
        <v>6.35</v>
      </c>
      <c r="G357" s="20" t="s">
        <v>353</v>
      </c>
      <c r="H357" s="19" t="str">
        <f>HYPERLINK("https://elefant.by/catalogue/611691099","Посмотреть на сайте ...")</f>
        <v>Посмотреть на сайте ...</v>
      </c>
    </row>
    <row r="358" spans="1:8" s="16" customFormat="1" x14ac:dyDescent="0.25">
      <c r="A358" s="17">
        <v>348</v>
      </c>
      <c r="B358" s="17" t="s">
        <v>339</v>
      </c>
      <c r="C358" s="17" t="s">
        <v>354</v>
      </c>
      <c r="D358" s="18">
        <v>5</v>
      </c>
      <c r="E358" s="18">
        <v>5.62</v>
      </c>
      <c r="F358" s="18">
        <v>6.74</v>
      </c>
      <c r="G358" s="20" t="s">
        <v>355</v>
      </c>
      <c r="H358" s="19" t="str">
        <f>HYPERLINK("https://elefant.by/catalogue/630870980","Посмотреть на сайте ...")</f>
        <v>Посмотреть на сайте ...</v>
      </c>
    </row>
    <row r="359" spans="1:8" s="16" customFormat="1" x14ac:dyDescent="0.25">
      <c r="A359" s="17">
        <v>349</v>
      </c>
      <c r="B359" s="17" t="s">
        <v>339</v>
      </c>
      <c r="C359" s="17" t="s">
        <v>356</v>
      </c>
      <c r="D359" s="18">
        <v>5</v>
      </c>
      <c r="E359" s="18">
        <v>4.8899999999999997</v>
      </c>
      <c r="F359" s="18">
        <v>5.87</v>
      </c>
      <c r="G359" s="20" t="s">
        <v>357</v>
      </c>
      <c r="H359" s="19" t="str">
        <f>HYPERLINK("https://elefant.by/catalogue/601054439","Посмотреть на сайте ...")</f>
        <v>Посмотреть на сайте ...</v>
      </c>
    </row>
    <row r="360" spans="1:8" s="16" customFormat="1" x14ac:dyDescent="0.25">
      <c r="A360" s="17">
        <v>350</v>
      </c>
      <c r="B360" s="17" t="s">
        <v>339</v>
      </c>
      <c r="C360" s="17" t="s">
        <v>358</v>
      </c>
      <c r="D360" s="18">
        <v>5</v>
      </c>
      <c r="E360" s="18">
        <v>42.12</v>
      </c>
      <c r="F360" s="18">
        <v>50.54</v>
      </c>
      <c r="G360" s="20" t="s">
        <v>359</v>
      </c>
      <c r="H360" s="19" t="str">
        <f>HYPERLINK("https://elefant.by/catalogue/500233926","Посмотреть на сайте ...")</f>
        <v>Посмотреть на сайте ...</v>
      </c>
    </row>
    <row r="361" spans="1:8" s="16" customFormat="1" x14ac:dyDescent="0.25">
      <c r="A361" s="17">
        <v>351</v>
      </c>
      <c r="B361" s="17" t="s">
        <v>339</v>
      </c>
      <c r="C361" s="17" t="s">
        <v>360</v>
      </c>
      <c r="D361" s="18">
        <v>10</v>
      </c>
      <c r="E361" s="18">
        <v>45.61</v>
      </c>
      <c r="F361" s="18">
        <v>54.73</v>
      </c>
      <c r="G361" s="20" t="s">
        <v>361</v>
      </c>
      <c r="H361" s="19" t="str">
        <f>HYPERLINK("https://elefant.by/catalogue/335057561","Посмотреть на сайте ...")</f>
        <v>Посмотреть на сайте ...</v>
      </c>
    </row>
    <row r="362" spans="1:8" s="16" customFormat="1" x14ac:dyDescent="0.25">
      <c r="A362" s="17">
        <v>352</v>
      </c>
      <c r="B362" s="17" t="s">
        <v>339</v>
      </c>
      <c r="C362" s="17" t="s">
        <v>362</v>
      </c>
      <c r="D362" s="18">
        <v>5</v>
      </c>
      <c r="E362" s="18">
        <v>17.940000000000001</v>
      </c>
      <c r="F362" s="18">
        <v>21.53</v>
      </c>
      <c r="G362" s="20" t="s">
        <v>363</v>
      </c>
      <c r="H362" s="19" t="str">
        <f>HYPERLINK("https://elefant.by/catalogue/335057559","Посмотреть на сайте ...")</f>
        <v>Посмотреть на сайте ...</v>
      </c>
    </row>
    <row r="363" spans="1:8" s="16" customFormat="1" x14ac:dyDescent="0.25">
      <c r="A363" s="17">
        <v>353</v>
      </c>
      <c r="B363" s="17" t="s">
        <v>339</v>
      </c>
      <c r="C363" s="17" t="s">
        <v>364</v>
      </c>
      <c r="D363" s="18">
        <v>10</v>
      </c>
      <c r="E363" s="18">
        <v>20.78</v>
      </c>
      <c r="F363" s="18">
        <v>24.94</v>
      </c>
      <c r="G363" s="20" t="s">
        <v>4231</v>
      </c>
      <c r="H363" s="19" t="str">
        <f>HYPERLINK("https://elefant.by/catalogue/335057558","Посмотреть на сайте ...")</f>
        <v>Посмотреть на сайте ...</v>
      </c>
    </row>
    <row r="364" spans="1:8" s="16" customFormat="1" x14ac:dyDescent="0.25">
      <c r="A364" s="17">
        <v>354</v>
      </c>
      <c r="B364" s="17" t="s">
        <v>339</v>
      </c>
      <c r="C364" s="17" t="s">
        <v>365</v>
      </c>
      <c r="D364" s="18">
        <v>10</v>
      </c>
      <c r="E364" s="18">
        <v>23.55</v>
      </c>
      <c r="F364" s="18">
        <v>28.26</v>
      </c>
      <c r="G364" s="20" t="s">
        <v>4232</v>
      </c>
      <c r="H364" s="19" t="str">
        <f>HYPERLINK("https://elefant.by/catalogue/335057563","Посмотреть на сайте ...")</f>
        <v>Посмотреть на сайте ...</v>
      </c>
    </row>
    <row r="365" spans="1:8" s="16" customFormat="1" x14ac:dyDescent="0.25">
      <c r="A365" s="17">
        <v>355</v>
      </c>
      <c r="B365" s="17" t="s">
        <v>339</v>
      </c>
      <c r="C365" s="17" t="s">
        <v>366</v>
      </c>
      <c r="D365" s="18">
        <v>1</v>
      </c>
      <c r="E365" s="18">
        <v>26.48</v>
      </c>
      <c r="F365" s="18">
        <v>31.78</v>
      </c>
      <c r="G365" s="20" t="s">
        <v>367</v>
      </c>
      <c r="H365" s="19" t="str">
        <f>HYPERLINK("https://elefant.by/catalogue/335057560","Посмотреть на сайте ...")</f>
        <v>Посмотреть на сайте ...</v>
      </c>
    </row>
    <row r="366" spans="1:8" s="16" customFormat="1" x14ac:dyDescent="0.25">
      <c r="A366" s="17">
        <v>356</v>
      </c>
      <c r="B366" s="17" t="s">
        <v>339</v>
      </c>
      <c r="C366" s="17" t="s">
        <v>3095</v>
      </c>
      <c r="D366" s="18">
        <v>5</v>
      </c>
      <c r="E366" s="18">
        <v>12.16</v>
      </c>
      <c r="F366" s="18">
        <v>14.59</v>
      </c>
      <c r="G366" s="20" t="s">
        <v>4233</v>
      </c>
      <c r="H366" s="19" t="str">
        <f>HYPERLINK("https://elefant.by/catalogue/691945220","Посмотреть на сайте ...")</f>
        <v>Посмотреть на сайте ...</v>
      </c>
    </row>
    <row r="367" spans="1:8" s="16" customFormat="1" x14ac:dyDescent="0.25">
      <c r="A367" s="17">
        <v>357</v>
      </c>
      <c r="B367" s="17" t="s">
        <v>339</v>
      </c>
      <c r="C367" s="17" t="s">
        <v>3096</v>
      </c>
      <c r="D367" s="18">
        <v>5</v>
      </c>
      <c r="E367" s="18">
        <v>12.16</v>
      </c>
      <c r="F367" s="18">
        <v>14.59</v>
      </c>
      <c r="G367" s="20" t="s">
        <v>4234</v>
      </c>
      <c r="H367" s="19" t="str">
        <f>HYPERLINK("https://elefant.by/catalogue/691945219","Посмотреть на сайте ...")</f>
        <v>Посмотреть на сайте ...</v>
      </c>
    </row>
    <row r="368" spans="1:8" s="16" customFormat="1" x14ac:dyDescent="0.25">
      <c r="A368" s="17">
        <v>358</v>
      </c>
      <c r="B368" s="17" t="s">
        <v>339</v>
      </c>
      <c r="C368" s="17" t="s">
        <v>3097</v>
      </c>
      <c r="D368" s="18">
        <v>5</v>
      </c>
      <c r="E368" s="18">
        <v>14.02</v>
      </c>
      <c r="F368" s="18">
        <v>16.82</v>
      </c>
      <c r="G368" s="20" t="s">
        <v>4235</v>
      </c>
      <c r="H368" s="19" t="str">
        <f>HYPERLINK("https://elefant.by/catalogue/691945217","Посмотреть на сайте ...")</f>
        <v>Посмотреть на сайте ...</v>
      </c>
    </row>
    <row r="369" spans="1:8" s="16" customFormat="1" x14ac:dyDescent="0.25">
      <c r="A369" s="17">
        <v>359</v>
      </c>
      <c r="B369" s="17" t="s">
        <v>339</v>
      </c>
      <c r="C369" s="17" t="s">
        <v>3098</v>
      </c>
      <c r="D369" s="18">
        <v>5</v>
      </c>
      <c r="E369" s="18">
        <v>14.02</v>
      </c>
      <c r="F369" s="18">
        <v>16.82</v>
      </c>
      <c r="G369" s="20" t="s">
        <v>4236</v>
      </c>
      <c r="H369" s="19" t="str">
        <f>HYPERLINK("https://elefant.by/catalogue/691945218","Посмотреть на сайте ...")</f>
        <v>Посмотреть на сайте ...</v>
      </c>
    </row>
    <row r="370" spans="1:8" s="16" customFormat="1" x14ac:dyDescent="0.25">
      <c r="A370" s="17">
        <v>360</v>
      </c>
      <c r="B370" s="17" t="s">
        <v>339</v>
      </c>
      <c r="C370" s="17" t="s">
        <v>368</v>
      </c>
      <c r="D370" s="18">
        <v>20</v>
      </c>
      <c r="E370" s="18">
        <v>5.47</v>
      </c>
      <c r="F370" s="18">
        <v>6.56</v>
      </c>
      <c r="G370" s="20" t="s">
        <v>369</v>
      </c>
      <c r="H370" s="19" t="str">
        <f>HYPERLINK("https://elefant.by/catalogue/611566877","Посмотреть на сайте ...")</f>
        <v>Посмотреть на сайте ...</v>
      </c>
    </row>
    <row r="371" spans="1:8" s="16" customFormat="1" x14ac:dyDescent="0.25">
      <c r="A371" s="17">
        <v>361</v>
      </c>
      <c r="B371" s="17" t="s">
        <v>339</v>
      </c>
      <c r="C371" s="17" t="s">
        <v>370</v>
      </c>
      <c r="D371" s="18">
        <v>20</v>
      </c>
      <c r="E371" s="18">
        <v>5.74</v>
      </c>
      <c r="F371" s="18">
        <v>6.89</v>
      </c>
      <c r="G371" s="20" t="s">
        <v>371</v>
      </c>
      <c r="H371" s="19" t="str">
        <f>HYPERLINK("https://elefant.by/catalogue/607357401","Посмотреть на сайте ...")</f>
        <v>Посмотреть на сайте ...</v>
      </c>
    </row>
    <row r="372" spans="1:8" s="16" customFormat="1" x14ac:dyDescent="0.25">
      <c r="A372" s="17">
        <v>362</v>
      </c>
      <c r="B372" s="17" t="s">
        <v>339</v>
      </c>
      <c r="C372" s="17" t="s">
        <v>3099</v>
      </c>
      <c r="D372" s="18">
        <v>10</v>
      </c>
      <c r="E372" s="18">
        <v>22.81</v>
      </c>
      <c r="F372" s="18">
        <v>27.37</v>
      </c>
      <c r="G372" s="20" t="s">
        <v>4237</v>
      </c>
      <c r="H372" s="19" t="str">
        <f>HYPERLINK("https://elefant.by/catalogue/335057562","Посмотреть на сайте ...")</f>
        <v>Посмотреть на сайте ...</v>
      </c>
    </row>
    <row r="373" spans="1:8" s="16" customFormat="1" x14ac:dyDescent="0.25">
      <c r="A373" s="17">
        <v>363</v>
      </c>
      <c r="B373" s="17" t="s">
        <v>339</v>
      </c>
      <c r="C373" s="17" t="s">
        <v>372</v>
      </c>
      <c r="D373" s="18">
        <v>10</v>
      </c>
      <c r="E373" s="18">
        <v>21.91</v>
      </c>
      <c r="F373" s="18">
        <v>26.29</v>
      </c>
      <c r="G373" s="20" t="s">
        <v>373</v>
      </c>
      <c r="H373" s="19" t="str">
        <f>HYPERLINK("https://elefant.by/catalogue/352391706","Посмотреть на сайте ...")</f>
        <v>Посмотреть на сайте ...</v>
      </c>
    </row>
    <row r="374" spans="1:8" s="16" customFormat="1" x14ac:dyDescent="0.25">
      <c r="A374" s="17">
        <v>364</v>
      </c>
      <c r="B374" s="17" t="s">
        <v>339</v>
      </c>
      <c r="C374" s="17" t="s">
        <v>374</v>
      </c>
      <c r="D374" s="18">
        <v>10</v>
      </c>
      <c r="E374" s="18">
        <v>25.1</v>
      </c>
      <c r="F374" s="18">
        <v>30.12</v>
      </c>
      <c r="G374" s="20" t="s">
        <v>375</v>
      </c>
      <c r="H374" s="19" t="str">
        <f>HYPERLINK("https://elefant.by/catalogue/563859618","Посмотреть на сайте ...")</f>
        <v>Посмотреть на сайте ...</v>
      </c>
    </row>
    <row r="375" spans="1:8" s="16" customFormat="1" x14ac:dyDescent="0.25">
      <c r="A375" s="17">
        <v>365</v>
      </c>
      <c r="B375" s="17" t="s">
        <v>339</v>
      </c>
      <c r="C375" s="17" t="s">
        <v>376</v>
      </c>
      <c r="D375" s="18">
        <v>10</v>
      </c>
      <c r="E375" s="18">
        <v>24.09</v>
      </c>
      <c r="F375" s="18">
        <v>28.91</v>
      </c>
      <c r="G375" s="20" t="s">
        <v>377</v>
      </c>
      <c r="H375" s="19" t="str">
        <f>HYPERLINK("https://elefant.by/catalogue/175588396","Посмотреть на сайте ...")</f>
        <v>Посмотреть на сайте ...</v>
      </c>
    </row>
    <row r="376" spans="1:8" s="16" customFormat="1" x14ac:dyDescent="0.25">
      <c r="A376" s="17">
        <v>366</v>
      </c>
      <c r="B376" s="17" t="s">
        <v>9</v>
      </c>
      <c r="C376" s="17" t="s">
        <v>378</v>
      </c>
      <c r="D376" s="18">
        <v>10</v>
      </c>
      <c r="E376" s="18">
        <v>13.38</v>
      </c>
      <c r="F376" s="18">
        <v>16.059999999999999</v>
      </c>
      <c r="G376" s="20" t="s">
        <v>379</v>
      </c>
      <c r="H376" s="19" t="str">
        <f>HYPERLINK("https://elefant.by/catalogue/190340878","Посмотреть на сайте ...")</f>
        <v>Посмотреть на сайте ...</v>
      </c>
    </row>
    <row r="377" spans="1:8" s="16" customFormat="1" x14ac:dyDescent="0.25">
      <c r="A377" s="17">
        <v>367</v>
      </c>
      <c r="B377" s="17" t="s">
        <v>9</v>
      </c>
      <c r="C377" s="17" t="s">
        <v>380</v>
      </c>
      <c r="D377" s="18">
        <v>10</v>
      </c>
      <c r="E377" s="18">
        <v>14.83</v>
      </c>
      <c r="F377" s="18">
        <v>17.8</v>
      </c>
      <c r="G377" s="20" t="s">
        <v>381</v>
      </c>
      <c r="H377" s="19" t="str">
        <f>HYPERLINK("https://elefant.by/catalogue/196978697","Посмотреть на сайте ...")</f>
        <v>Посмотреть на сайте ...</v>
      </c>
    </row>
    <row r="378" spans="1:8" s="16" customFormat="1" x14ac:dyDescent="0.25">
      <c r="A378" s="17">
        <v>368</v>
      </c>
      <c r="B378" s="17" t="s">
        <v>9</v>
      </c>
      <c r="C378" s="17" t="s">
        <v>382</v>
      </c>
      <c r="D378" s="18">
        <v>10</v>
      </c>
      <c r="E378" s="18">
        <v>20.56</v>
      </c>
      <c r="F378" s="18">
        <v>24.67</v>
      </c>
      <c r="G378" s="20" t="s">
        <v>383</v>
      </c>
      <c r="H378" s="19" t="str">
        <f>HYPERLINK("https://elefant.by/catalogue/174800540","Посмотреть на сайте ...")</f>
        <v>Посмотреть на сайте ...</v>
      </c>
    </row>
    <row r="379" spans="1:8" s="16" customFormat="1" x14ac:dyDescent="0.25">
      <c r="A379" s="17">
        <v>369</v>
      </c>
      <c r="B379" s="17" t="s">
        <v>9</v>
      </c>
      <c r="C379" s="17" t="s">
        <v>384</v>
      </c>
      <c r="D379" s="18">
        <v>10</v>
      </c>
      <c r="E379" s="18">
        <v>18.77</v>
      </c>
      <c r="F379" s="18">
        <v>22.52</v>
      </c>
      <c r="G379" s="20" t="s">
        <v>385</v>
      </c>
      <c r="H379" s="19" t="str">
        <f>HYPERLINK("https://elefant.by/catalogue/174800541","Посмотреть на сайте ...")</f>
        <v>Посмотреть на сайте ...</v>
      </c>
    </row>
    <row r="380" spans="1:8" s="16" customFormat="1" x14ac:dyDescent="0.25">
      <c r="A380" s="17">
        <v>370</v>
      </c>
      <c r="B380" s="17" t="s">
        <v>9</v>
      </c>
      <c r="C380" s="17" t="s">
        <v>386</v>
      </c>
      <c r="D380" s="18">
        <v>10</v>
      </c>
      <c r="E380" s="18">
        <v>28.43</v>
      </c>
      <c r="F380" s="18">
        <v>34.119999999999997</v>
      </c>
      <c r="G380" s="20" t="s">
        <v>387</v>
      </c>
      <c r="H380" s="19" t="str">
        <f>HYPERLINK("https://elefant.by/catalogue/174800542","Посмотреть на сайте ...")</f>
        <v>Посмотреть на сайте ...</v>
      </c>
    </row>
    <row r="381" spans="1:8" s="16" customFormat="1" x14ac:dyDescent="0.25">
      <c r="A381" s="17">
        <v>371</v>
      </c>
      <c r="B381" s="17" t="s">
        <v>9</v>
      </c>
      <c r="C381" s="17" t="s">
        <v>388</v>
      </c>
      <c r="D381" s="18">
        <v>10</v>
      </c>
      <c r="E381" s="18">
        <v>25.18</v>
      </c>
      <c r="F381" s="18">
        <v>30.22</v>
      </c>
      <c r="G381" s="20" t="s">
        <v>389</v>
      </c>
      <c r="H381" s="19" t="str">
        <f>HYPERLINK("https://elefant.by/catalogue/174800543","Посмотреть на сайте ...")</f>
        <v>Посмотреть на сайте ...</v>
      </c>
    </row>
    <row r="382" spans="1:8" s="16" customFormat="1" x14ac:dyDescent="0.25">
      <c r="A382" s="17">
        <v>372</v>
      </c>
      <c r="B382" s="17" t="s">
        <v>9</v>
      </c>
      <c r="C382" s="17" t="s">
        <v>390</v>
      </c>
      <c r="D382" s="18">
        <v>10</v>
      </c>
      <c r="E382" s="18">
        <v>21.98</v>
      </c>
      <c r="F382" s="18">
        <v>26.38</v>
      </c>
      <c r="G382" s="20" t="s">
        <v>391</v>
      </c>
      <c r="H382" s="19" t="str">
        <f>HYPERLINK("https://elefant.by/catalogue/188989006","Посмотреть на сайте ...")</f>
        <v>Посмотреть на сайте ...</v>
      </c>
    </row>
    <row r="383" spans="1:8" s="16" customFormat="1" x14ac:dyDescent="0.25">
      <c r="A383" s="17">
        <v>373</v>
      </c>
      <c r="B383" s="17" t="s">
        <v>9</v>
      </c>
      <c r="C383" s="17" t="s">
        <v>392</v>
      </c>
      <c r="D383" s="18">
        <v>10</v>
      </c>
      <c r="E383" s="18">
        <v>23.71</v>
      </c>
      <c r="F383" s="18">
        <v>28.45</v>
      </c>
      <c r="G383" s="20" t="s">
        <v>393</v>
      </c>
      <c r="H383" s="19" t="str">
        <f>HYPERLINK("https://elefant.by/catalogue/188989007","Посмотреть на сайте ...")</f>
        <v>Посмотреть на сайте ...</v>
      </c>
    </row>
    <row r="384" spans="1:8" s="16" customFormat="1" x14ac:dyDescent="0.25">
      <c r="A384" s="17">
        <v>374</v>
      </c>
      <c r="B384" s="17" t="s">
        <v>9</v>
      </c>
      <c r="C384" s="17" t="s">
        <v>394</v>
      </c>
      <c r="D384" s="18">
        <v>10</v>
      </c>
      <c r="E384" s="18">
        <v>24.04</v>
      </c>
      <c r="F384" s="18">
        <v>28.85</v>
      </c>
      <c r="G384" s="20" t="s">
        <v>395</v>
      </c>
      <c r="H384" s="19" t="str">
        <f>HYPERLINK("https://elefant.by/catalogue/188989008","Посмотреть на сайте ...")</f>
        <v>Посмотреть на сайте ...</v>
      </c>
    </row>
    <row r="385" spans="1:8" s="16" customFormat="1" x14ac:dyDescent="0.25">
      <c r="A385" s="17">
        <v>375</v>
      </c>
      <c r="B385" s="17" t="s">
        <v>9</v>
      </c>
      <c r="C385" s="17" t="s">
        <v>396</v>
      </c>
      <c r="D385" s="18">
        <v>10</v>
      </c>
      <c r="E385" s="18">
        <v>6.11</v>
      </c>
      <c r="F385" s="18">
        <v>7.33</v>
      </c>
      <c r="G385" s="20" t="s">
        <v>397</v>
      </c>
      <c r="H385" s="19" t="str">
        <f>HYPERLINK("https://elefant.by/catalogue/175164887","Посмотреть на сайте ...")</f>
        <v>Посмотреть на сайте ...</v>
      </c>
    </row>
    <row r="386" spans="1:8" s="16" customFormat="1" x14ac:dyDescent="0.25">
      <c r="A386" s="17">
        <v>376</v>
      </c>
      <c r="B386" s="17" t="s">
        <v>9</v>
      </c>
      <c r="C386" s="17" t="s">
        <v>398</v>
      </c>
      <c r="D386" s="18">
        <v>10</v>
      </c>
      <c r="E386" s="18">
        <v>6.51</v>
      </c>
      <c r="F386" s="18">
        <v>7.81</v>
      </c>
      <c r="G386" s="20" t="s">
        <v>399</v>
      </c>
      <c r="H386" s="19" t="str">
        <f>HYPERLINK("https://elefant.by/catalogue/174800537","Посмотреть на сайте ...")</f>
        <v>Посмотреть на сайте ...</v>
      </c>
    </row>
    <row r="387" spans="1:8" s="16" customFormat="1" x14ac:dyDescent="0.25">
      <c r="A387" s="17">
        <v>377</v>
      </c>
      <c r="B387" s="17" t="s">
        <v>9</v>
      </c>
      <c r="C387" s="17" t="s">
        <v>400</v>
      </c>
      <c r="D387" s="18">
        <v>10</v>
      </c>
      <c r="E387" s="18">
        <v>6.07</v>
      </c>
      <c r="F387" s="18">
        <v>7.28</v>
      </c>
      <c r="G387" s="20" t="s">
        <v>401</v>
      </c>
      <c r="H387" s="19" t="str">
        <f>HYPERLINK("https://elefant.by/catalogue/188989009","Посмотреть на сайте ...")</f>
        <v>Посмотреть на сайте ...</v>
      </c>
    </row>
    <row r="388" spans="1:8" s="16" customFormat="1" x14ac:dyDescent="0.25">
      <c r="A388" s="17">
        <v>378</v>
      </c>
      <c r="B388" s="17" t="s">
        <v>402</v>
      </c>
      <c r="C388" s="17" t="s">
        <v>3100</v>
      </c>
      <c r="D388" s="18">
        <v>72</v>
      </c>
      <c r="E388" s="18">
        <v>0.5</v>
      </c>
      <c r="F388" s="18">
        <v>0.6</v>
      </c>
      <c r="G388" s="20" t="s">
        <v>4238</v>
      </c>
      <c r="H388" s="19" t="str">
        <f>HYPERLINK("https://elefant.by/catalogue/685329375","Посмотреть на сайте ...")</f>
        <v>Посмотреть на сайте ...</v>
      </c>
    </row>
    <row r="389" spans="1:8" s="16" customFormat="1" x14ac:dyDescent="0.25">
      <c r="A389" s="17">
        <v>379</v>
      </c>
      <c r="B389" s="17" t="s">
        <v>402</v>
      </c>
      <c r="C389" s="17" t="s">
        <v>3101</v>
      </c>
      <c r="D389" s="18">
        <v>72</v>
      </c>
      <c r="E389" s="18">
        <v>0.46</v>
      </c>
      <c r="F389" s="18">
        <v>0.55000000000000004</v>
      </c>
      <c r="G389" s="20" t="s">
        <v>4239</v>
      </c>
      <c r="H389" s="19" t="str">
        <f>HYPERLINK("https://elefant.by/catalogue/594349596","Посмотреть на сайте ...")</f>
        <v>Посмотреть на сайте ...</v>
      </c>
    </row>
    <row r="390" spans="1:8" s="16" customFormat="1" x14ac:dyDescent="0.25">
      <c r="A390" s="17">
        <v>380</v>
      </c>
      <c r="B390" s="17" t="s">
        <v>402</v>
      </c>
      <c r="C390" s="17" t="s">
        <v>403</v>
      </c>
      <c r="D390" s="18">
        <v>72</v>
      </c>
      <c r="E390" s="18">
        <v>0.45</v>
      </c>
      <c r="F390" s="18">
        <v>0.54</v>
      </c>
      <c r="G390" s="20" t="s">
        <v>404</v>
      </c>
      <c r="H390" s="19" t="str">
        <f>HYPERLINK("https://elefant.by/catalogue/594349601","Посмотреть на сайте ...")</f>
        <v>Посмотреть на сайте ...</v>
      </c>
    </row>
    <row r="391" spans="1:8" s="16" customFormat="1" x14ac:dyDescent="0.25">
      <c r="A391" s="17">
        <v>381</v>
      </c>
      <c r="B391" s="17" t="s">
        <v>402</v>
      </c>
      <c r="C391" s="17" t="s">
        <v>3102</v>
      </c>
      <c r="D391" s="18">
        <v>72</v>
      </c>
      <c r="E391" s="18">
        <v>0.38</v>
      </c>
      <c r="F391" s="18">
        <v>0.46</v>
      </c>
      <c r="G391" s="20" t="s">
        <v>4240</v>
      </c>
      <c r="H391" s="19" t="str">
        <f>HYPERLINK("https://elefant.by/catalogue/653301514","Посмотреть на сайте ...")</f>
        <v>Посмотреть на сайте ...</v>
      </c>
    </row>
    <row r="392" spans="1:8" s="16" customFormat="1" x14ac:dyDescent="0.25">
      <c r="A392" s="17">
        <v>382</v>
      </c>
      <c r="B392" s="17" t="s">
        <v>402</v>
      </c>
      <c r="C392" s="17" t="s">
        <v>405</v>
      </c>
      <c r="D392" s="18">
        <v>72</v>
      </c>
      <c r="E392" s="18">
        <v>0.54</v>
      </c>
      <c r="F392" s="18">
        <v>0.65</v>
      </c>
      <c r="G392" s="20" t="s">
        <v>406</v>
      </c>
      <c r="H392" s="19" t="str">
        <f>HYPERLINK("https://elefant.by/catalogue/594349593","Посмотреть на сайте ...")</f>
        <v>Посмотреть на сайте ...</v>
      </c>
    </row>
    <row r="393" spans="1:8" s="16" customFormat="1" x14ac:dyDescent="0.25">
      <c r="A393" s="17">
        <v>383</v>
      </c>
      <c r="B393" s="17" t="s">
        <v>402</v>
      </c>
      <c r="C393" s="17" t="s">
        <v>407</v>
      </c>
      <c r="D393" s="18">
        <v>12</v>
      </c>
      <c r="E393" s="18">
        <v>0.26</v>
      </c>
      <c r="F393" s="18">
        <v>0.31</v>
      </c>
      <c r="G393" s="20" t="s">
        <v>4241</v>
      </c>
      <c r="H393" s="19" t="str">
        <f>HYPERLINK("https://elefant.by/catalogue/611751895","Посмотреть на сайте ...")</f>
        <v>Посмотреть на сайте ...</v>
      </c>
    </row>
    <row r="394" spans="1:8" s="16" customFormat="1" x14ac:dyDescent="0.25">
      <c r="A394" s="17">
        <v>384</v>
      </c>
      <c r="B394" s="17" t="s">
        <v>402</v>
      </c>
      <c r="C394" s="17" t="s">
        <v>408</v>
      </c>
      <c r="D394" s="18">
        <v>12</v>
      </c>
      <c r="E394" s="18">
        <v>0.38</v>
      </c>
      <c r="F394" s="18">
        <v>0.46</v>
      </c>
      <c r="G394" s="20" t="s">
        <v>409</v>
      </c>
      <c r="H394" s="19" t="str">
        <f>HYPERLINK("https://elefant.by/catalogue/594349598","Посмотреть на сайте ...")</f>
        <v>Посмотреть на сайте ...</v>
      </c>
    </row>
    <row r="395" spans="1:8" s="16" customFormat="1" x14ac:dyDescent="0.25">
      <c r="A395" s="17">
        <v>385</v>
      </c>
      <c r="B395" s="17" t="s">
        <v>402</v>
      </c>
      <c r="C395" s="17" t="s">
        <v>410</v>
      </c>
      <c r="D395" s="18">
        <v>12</v>
      </c>
      <c r="E395" s="18">
        <v>0.26</v>
      </c>
      <c r="F395" s="18">
        <v>0.31</v>
      </c>
      <c r="G395" s="20" t="s">
        <v>4242</v>
      </c>
      <c r="H395" s="19" t="str">
        <f>HYPERLINK("https://elefant.by/catalogue/611722618","Посмотреть на сайте ...")</f>
        <v>Посмотреть на сайте ...</v>
      </c>
    </row>
    <row r="396" spans="1:8" s="16" customFormat="1" x14ac:dyDescent="0.25">
      <c r="A396" s="17">
        <v>386</v>
      </c>
      <c r="B396" s="17" t="s">
        <v>402</v>
      </c>
      <c r="C396" s="17" t="s">
        <v>3103</v>
      </c>
      <c r="D396" s="18">
        <v>12</v>
      </c>
      <c r="E396" s="18">
        <v>0.38</v>
      </c>
      <c r="F396" s="18">
        <v>0.46</v>
      </c>
      <c r="G396" s="20" t="s">
        <v>4243</v>
      </c>
      <c r="H396" s="19" t="str">
        <f>HYPERLINK("https://elefant.by/catalogue/653301509","Посмотреть на сайте ...")</f>
        <v>Посмотреть на сайте ...</v>
      </c>
    </row>
    <row r="397" spans="1:8" s="16" customFormat="1" x14ac:dyDescent="0.25">
      <c r="A397" s="17">
        <v>387</v>
      </c>
      <c r="B397" s="17" t="s">
        <v>402</v>
      </c>
      <c r="C397" s="17" t="s">
        <v>411</v>
      </c>
      <c r="D397" s="18">
        <v>40</v>
      </c>
      <c r="E397" s="18">
        <v>1.76</v>
      </c>
      <c r="F397" s="18">
        <v>2.11</v>
      </c>
      <c r="G397" s="20" t="s">
        <v>412</v>
      </c>
      <c r="H397" s="19" t="str">
        <f>HYPERLINK("https://elefant.by/catalogue/594349606","Посмотреть на сайте ...")</f>
        <v>Посмотреть на сайте ...</v>
      </c>
    </row>
    <row r="398" spans="1:8" s="16" customFormat="1" x14ac:dyDescent="0.25">
      <c r="A398" s="17">
        <v>388</v>
      </c>
      <c r="B398" s="17" t="s">
        <v>402</v>
      </c>
      <c r="C398" s="17" t="s">
        <v>3104</v>
      </c>
      <c r="D398" s="18">
        <v>60</v>
      </c>
      <c r="E398" s="18">
        <v>1.49</v>
      </c>
      <c r="F398" s="18">
        <v>1.79</v>
      </c>
      <c r="G398" s="20" t="s">
        <v>4244</v>
      </c>
      <c r="H398" s="19" t="str">
        <f>HYPERLINK("https://elefant.by/catalogue/653391231","Посмотреть на сайте ...")</f>
        <v>Посмотреть на сайте ...</v>
      </c>
    </row>
    <row r="399" spans="1:8" s="16" customFormat="1" x14ac:dyDescent="0.25">
      <c r="A399" s="17">
        <v>389</v>
      </c>
      <c r="B399" s="17" t="s">
        <v>402</v>
      </c>
      <c r="C399" s="17" t="s">
        <v>3105</v>
      </c>
      <c r="D399" s="18">
        <v>72</v>
      </c>
      <c r="E399" s="18">
        <v>0.43</v>
      </c>
      <c r="F399" s="18">
        <v>0.52</v>
      </c>
      <c r="G399" s="20" t="s">
        <v>4245</v>
      </c>
      <c r="H399" s="19" t="str">
        <f>HYPERLINK("https://elefant.by/catalogue/653301508","Посмотреть на сайте ...")</f>
        <v>Посмотреть на сайте ...</v>
      </c>
    </row>
    <row r="400" spans="1:8" s="16" customFormat="1" x14ac:dyDescent="0.25">
      <c r="A400" s="17">
        <v>390</v>
      </c>
      <c r="B400" s="17" t="s">
        <v>402</v>
      </c>
      <c r="C400" s="17" t="s">
        <v>3106</v>
      </c>
      <c r="D400" s="18">
        <v>72</v>
      </c>
      <c r="E400" s="18">
        <v>0.49</v>
      </c>
      <c r="F400" s="18">
        <v>0.59</v>
      </c>
      <c r="G400" s="20" t="s">
        <v>4246</v>
      </c>
      <c r="H400" s="19" t="str">
        <f>HYPERLINK("https://elefant.by/catalogue/653301507","Посмотреть на сайте ...")</f>
        <v>Посмотреть на сайте ...</v>
      </c>
    </row>
    <row r="401" spans="1:8" s="16" customFormat="1" x14ac:dyDescent="0.25">
      <c r="A401" s="17">
        <v>391</v>
      </c>
      <c r="B401" s="17" t="s">
        <v>402</v>
      </c>
      <c r="C401" s="17" t="s">
        <v>3107</v>
      </c>
      <c r="D401" s="18">
        <v>72</v>
      </c>
      <c r="E401" s="18">
        <v>0.36</v>
      </c>
      <c r="F401" s="18">
        <v>0.43</v>
      </c>
      <c r="G401" s="20" t="s">
        <v>4247</v>
      </c>
      <c r="H401" s="19" t="str">
        <f>HYPERLINK("https://elefant.by/catalogue/594349602","Посмотреть на сайте ...")</f>
        <v>Посмотреть на сайте ...</v>
      </c>
    </row>
    <row r="402" spans="1:8" s="16" customFormat="1" x14ac:dyDescent="0.25">
      <c r="A402" s="17">
        <v>392</v>
      </c>
      <c r="B402" s="17" t="s">
        <v>402</v>
      </c>
      <c r="C402" s="17" t="s">
        <v>413</v>
      </c>
      <c r="D402" s="18">
        <v>72</v>
      </c>
      <c r="E402" s="18">
        <v>0.45</v>
      </c>
      <c r="F402" s="18">
        <v>0.54</v>
      </c>
      <c r="G402" s="20" t="s">
        <v>414</v>
      </c>
      <c r="H402" s="19" t="str">
        <f>HYPERLINK("https://elefant.by/catalogue/594349599","Посмотреть на сайте ...")</f>
        <v>Посмотреть на сайте ...</v>
      </c>
    </row>
    <row r="403" spans="1:8" s="16" customFormat="1" x14ac:dyDescent="0.25">
      <c r="A403" s="17">
        <v>393</v>
      </c>
      <c r="B403" s="17" t="s">
        <v>402</v>
      </c>
      <c r="C403" s="17" t="s">
        <v>415</v>
      </c>
      <c r="D403" s="18">
        <v>72</v>
      </c>
      <c r="E403" s="18">
        <v>0.5</v>
      </c>
      <c r="F403" s="18">
        <v>0.6</v>
      </c>
      <c r="G403" s="20" t="s">
        <v>416</v>
      </c>
      <c r="H403" s="19" t="str">
        <f>HYPERLINK("https://elefant.by/catalogue/594349594","Посмотреть на сайте ...")</f>
        <v>Посмотреть на сайте ...</v>
      </c>
    </row>
    <row r="404" spans="1:8" s="16" customFormat="1" x14ac:dyDescent="0.25">
      <c r="A404" s="17">
        <v>394</v>
      </c>
      <c r="B404" s="17" t="s">
        <v>402</v>
      </c>
      <c r="C404" s="17" t="s">
        <v>417</v>
      </c>
      <c r="D404" s="18">
        <v>72</v>
      </c>
      <c r="E404" s="18">
        <v>0.5</v>
      </c>
      <c r="F404" s="18">
        <v>0.6</v>
      </c>
      <c r="G404" s="20" t="s">
        <v>418</v>
      </c>
      <c r="H404" s="19" t="str">
        <f>HYPERLINK("https://elefant.by/catalogue/594349597","Посмотреть на сайте ...")</f>
        <v>Посмотреть на сайте ...</v>
      </c>
    </row>
    <row r="405" spans="1:8" s="16" customFormat="1" x14ac:dyDescent="0.25">
      <c r="A405" s="17">
        <v>395</v>
      </c>
      <c r="B405" s="17" t="s">
        <v>63</v>
      </c>
      <c r="C405" s="17" t="s">
        <v>3108</v>
      </c>
      <c r="D405" s="18">
        <v>12</v>
      </c>
      <c r="E405" s="18">
        <v>0.11</v>
      </c>
      <c r="F405" s="18">
        <v>0.13</v>
      </c>
      <c r="G405" s="20" t="s">
        <v>419</v>
      </c>
      <c r="H405" s="19" t="str">
        <f>HYPERLINK("https://elefant.by/catalogue/450884484","Посмотреть на сайте ...")</f>
        <v>Посмотреть на сайте ...</v>
      </c>
    </row>
    <row r="406" spans="1:8" s="16" customFormat="1" x14ac:dyDescent="0.25">
      <c r="A406" s="17">
        <v>396</v>
      </c>
      <c r="B406" s="17" t="s">
        <v>63</v>
      </c>
      <c r="C406" s="17" t="s">
        <v>420</v>
      </c>
      <c r="D406" s="18">
        <v>144</v>
      </c>
      <c r="E406" s="18">
        <v>0.14000000000000001</v>
      </c>
      <c r="F406" s="18">
        <v>0.17</v>
      </c>
      <c r="G406" s="20" t="s">
        <v>421</v>
      </c>
      <c r="H406" s="19" t="str">
        <f>HYPERLINK("https://elefant.by/catalogue/450726358","Посмотреть на сайте ...")</f>
        <v>Посмотреть на сайте ...</v>
      </c>
    </row>
    <row r="407" spans="1:8" s="16" customFormat="1" x14ac:dyDescent="0.25">
      <c r="A407" s="17">
        <v>397</v>
      </c>
      <c r="B407" s="17" t="s">
        <v>63</v>
      </c>
      <c r="C407" s="17" t="s">
        <v>422</v>
      </c>
      <c r="D407" s="18">
        <v>12</v>
      </c>
      <c r="E407" s="18">
        <v>0.1</v>
      </c>
      <c r="F407" s="18">
        <v>0.12</v>
      </c>
      <c r="G407" s="20" t="s">
        <v>423</v>
      </c>
      <c r="H407" s="19" t="str">
        <f>HYPERLINK("https://elefant.by/catalogue/450884483","Посмотреть на сайте ...")</f>
        <v>Посмотреть на сайте ...</v>
      </c>
    </row>
    <row r="408" spans="1:8" s="16" customFormat="1" x14ac:dyDescent="0.25">
      <c r="A408" s="17">
        <v>398</v>
      </c>
      <c r="B408" s="17" t="s">
        <v>17</v>
      </c>
      <c r="C408" s="17" t="s">
        <v>424</v>
      </c>
      <c r="D408" s="18">
        <v>72</v>
      </c>
      <c r="E408" s="18">
        <v>0.5</v>
      </c>
      <c r="F408" s="18">
        <v>0.6</v>
      </c>
      <c r="G408" s="20" t="s">
        <v>425</v>
      </c>
      <c r="H408" s="19" t="str">
        <f>HYPERLINK("https://elefant.by/catalogue/618937604","Посмотреть на сайте ...")</f>
        <v>Посмотреть на сайте ...</v>
      </c>
    </row>
    <row r="409" spans="1:8" s="16" customFormat="1" x14ac:dyDescent="0.25">
      <c r="A409" s="17">
        <v>399</v>
      </c>
      <c r="B409" s="17" t="s">
        <v>3109</v>
      </c>
      <c r="C409" s="17" t="s">
        <v>3110</v>
      </c>
      <c r="D409" s="18">
        <v>48</v>
      </c>
      <c r="E409" s="18">
        <v>0.41</v>
      </c>
      <c r="F409" s="18">
        <v>0.49</v>
      </c>
      <c r="G409" s="20" t="s">
        <v>4248</v>
      </c>
      <c r="H409" s="19" t="str">
        <f>HYPERLINK("https://elefant.by/catalogue/704265107","Посмотреть на сайте ...")</f>
        <v>Посмотреть на сайте ...</v>
      </c>
    </row>
    <row r="410" spans="1:8" s="16" customFormat="1" x14ac:dyDescent="0.25">
      <c r="A410" s="17">
        <v>400</v>
      </c>
      <c r="B410" s="17" t="s">
        <v>3109</v>
      </c>
      <c r="C410" s="17" t="s">
        <v>3111</v>
      </c>
      <c r="D410" s="18">
        <v>48</v>
      </c>
      <c r="E410" s="18">
        <v>0.47</v>
      </c>
      <c r="F410" s="18">
        <v>0.56000000000000005</v>
      </c>
      <c r="G410" s="20" t="s">
        <v>4249</v>
      </c>
      <c r="H410" s="19" t="str">
        <f>HYPERLINK("https://elefant.by/catalogue/704306601","Посмотреть на сайте ...")</f>
        <v>Посмотреть на сайте ...</v>
      </c>
    </row>
    <row r="411" spans="1:8" s="16" customFormat="1" x14ac:dyDescent="0.25">
      <c r="A411" s="17">
        <v>401</v>
      </c>
      <c r="B411" s="17" t="s">
        <v>12</v>
      </c>
      <c r="C411" s="17" t="s">
        <v>560</v>
      </c>
      <c r="D411" s="18">
        <v>24</v>
      </c>
      <c r="E411" s="18">
        <v>0.06</v>
      </c>
      <c r="F411" s="18">
        <v>7.0000000000000007E-2</v>
      </c>
      <c r="G411" s="20" t="s">
        <v>561</v>
      </c>
      <c r="H411" s="19" t="str">
        <f>HYPERLINK("https://elefant.by/catalogue/610334250","Посмотреть на сайте ...")</f>
        <v>Посмотреть на сайте ...</v>
      </c>
    </row>
    <row r="412" spans="1:8" s="16" customFormat="1" x14ac:dyDescent="0.25">
      <c r="A412" s="17">
        <v>402</v>
      </c>
      <c r="B412" s="17" t="s">
        <v>12</v>
      </c>
      <c r="C412" s="17" t="s">
        <v>562</v>
      </c>
      <c r="D412" s="18">
        <v>12</v>
      </c>
      <c r="E412" s="18">
        <v>0.13</v>
      </c>
      <c r="F412" s="18">
        <v>0.16</v>
      </c>
      <c r="G412" s="20" t="s">
        <v>563</v>
      </c>
      <c r="H412" s="19" t="str">
        <f>HYPERLINK("https://elefant.by/catalogue/450726362","Посмотреть на сайте ...")</f>
        <v>Посмотреть на сайте ...</v>
      </c>
    </row>
    <row r="413" spans="1:8" s="16" customFormat="1" x14ac:dyDescent="0.25">
      <c r="A413" s="17">
        <v>403</v>
      </c>
      <c r="B413" s="17" t="s">
        <v>12</v>
      </c>
      <c r="C413" s="17" t="s">
        <v>3120</v>
      </c>
      <c r="D413" s="18">
        <v>72</v>
      </c>
      <c r="E413" s="18">
        <v>0.25</v>
      </c>
      <c r="F413" s="18">
        <v>0.3</v>
      </c>
      <c r="G413" s="20" t="s">
        <v>564</v>
      </c>
      <c r="H413" s="19" t="str">
        <f>HYPERLINK("https://elefant.by/catalogue/622414872","Посмотреть на сайте ...")</f>
        <v>Посмотреть на сайте ...</v>
      </c>
    </row>
    <row r="414" spans="1:8" s="16" customFormat="1" x14ac:dyDescent="0.25">
      <c r="A414" s="17">
        <v>404</v>
      </c>
      <c r="B414" s="17" t="s">
        <v>12</v>
      </c>
      <c r="C414" s="17" t="s">
        <v>3121</v>
      </c>
      <c r="D414" s="18">
        <v>72</v>
      </c>
      <c r="E414" s="18">
        <v>0.25</v>
      </c>
      <c r="F414" s="18">
        <v>0.3</v>
      </c>
      <c r="G414" s="20" t="s">
        <v>4254</v>
      </c>
      <c r="H414" s="19" t="str">
        <f>HYPERLINK("https://elefant.by/catalogue/656071491","Посмотреть на сайте ...")</f>
        <v>Посмотреть на сайте ...</v>
      </c>
    </row>
    <row r="415" spans="1:8" s="16" customFormat="1" x14ac:dyDescent="0.25">
      <c r="A415" s="17">
        <v>405</v>
      </c>
      <c r="B415" s="17" t="s">
        <v>12</v>
      </c>
      <c r="C415" s="17" t="s">
        <v>565</v>
      </c>
      <c r="D415" s="18">
        <v>72</v>
      </c>
      <c r="E415" s="18">
        <v>0.22</v>
      </c>
      <c r="F415" s="18">
        <v>0.26</v>
      </c>
      <c r="G415" s="20" t="s">
        <v>566</v>
      </c>
      <c r="H415" s="19" t="str">
        <f>HYPERLINK("https://elefant.by/catalogue/620089864","Посмотреть на сайте ...")</f>
        <v>Посмотреть на сайте ...</v>
      </c>
    </row>
    <row r="416" spans="1:8" s="16" customFormat="1" x14ac:dyDescent="0.25">
      <c r="A416" s="17">
        <v>406</v>
      </c>
      <c r="B416" s="17" t="s">
        <v>12</v>
      </c>
      <c r="C416" s="17" t="s">
        <v>3122</v>
      </c>
      <c r="D416" s="18">
        <v>72</v>
      </c>
      <c r="E416" s="18">
        <v>0.23</v>
      </c>
      <c r="F416" s="18">
        <v>0.28000000000000003</v>
      </c>
      <c r="G416" s="20" t="s">
        <v>567</v>
      </c>
      <c r="H416" s="19" t="str">
        <f>HYPERLINK("https://elefant.by/catalogue/622414873","Посмотреть на сайте ...")</f>
        <v>Посмотреть на сайте ...</v>
      </c>
    </row>
    <row r="417" spans="1:8" s="16" customFormat="1" x14ac:dyDescent="0.25">
      <c r="A417" s="17">
        <v>407</v>
      </c>
      <c r="B417" s="17" t="s">
        <v>12</v>
      </c>
      <c r="C417" s="17" t="s">
        <v>3123</v>
      </c>
      <c r="D417" s="18">
        <v>72</v>
      </c>
      <c r="E417" s="18">
        <v>0.27</v>
      </c>
      <c r="F417" s="18">
        <v>0.32</v>
      </c>
      <c r="G417" s="20" t="s">
        <v>568</v>
      </c>
      <c r="H417" s="19" t="str">
        <f>HYPERLINK("https://elefant.by/catalogue/643879277","Посмотреть на сайте ...")</f>
        <v>Посмотреть на сайте ...</v>
      </c>
    </row>
    <row r="418" spans="1:8" s="16" customFormat="1" x14ac:dyDescent="0.25">
      <c r="A418" s="17">
        <v>408</v>
      </c>
      <c r="B418" s="17" t="s">
        <v>12</v>
      </c>
      <c r="C418" s="17" t="s">
        <v>3124</v>
      </c>
      <c r="D418" s="18">
        <v>50</v>
      </c>
      <c r="E418" s="18">
        <v>0.17</v>
      </c>
      <c r="F418" s="18">
        <v>0.2</v>
      </c>
      <c r="G418" s="20" t="s">
        <v>569</v>
      </c>
      <c r="H418" s="19" t="str">
        <f>HYPERLINK("https://elefant.by/catalogue/450726365","Посмотреть на сайте ...")</f>
        <v>Посмотреть на сайте ...</v>
      </c>
    </row>
    <row r="419" spans="1:8" s="16" customFormat="1" x14ac:dyDescent="0.25">
      <c r="A419" s="17">
        <v>409</v>
      </c>
      <c r="B419" s="17" t="s">
        <v>12</v>
      </c>
      <c r="C419" s="17" t="s">
        <v>570</v>
      </c>
      <c r="D419" s="18">
        <v>50</v>
      </c>
      <c r="E419" s="18">
        <v>0.19</v>
      </c>
      <c r="F419" s="18">
        <v>0.23</v>
      </c>
      <c r="G419" s="20" t="s">
        <v>4255</v>
      </c>
      <c r="H419" s="19" t="str">
        <f>HYPERLINK("https://elefant.by/catalogue/508034652","Посмотреть на сайте ...")</f>
        <v>Посмотреть на сайте ...</v>
      </c>
    </row>
    <row r="420" spans="1:8" s="16" customFormat="1" x14ac:dyDescent="0.25">
      <c r="A420" s="17">
        <v>410</v>
      </c>
      <c r="B420" s="17" t="s">
        <v>9</v>
      </c>
      <c r="C420" s="17" t="s">
        <v>426</v>
      </c>
      <c r="D420" s="18">
        <v>42</v>
      </c>
      <c r="E420" s="18">
        <v>0.55000000000000004</v>
      </c>
      <c r="F420" s="18">
        <v>0.66</v>
      </c>
      <c r="G420" s="20" t="s">
        <v>427</v>
      </c>
      <c r="H420" s="19" t="str">
        <f>HYPERLINK("https://elefant.by/catalogue/609768793","Посмотреть на сайте ...")</f>
        <v>Посмотреть на сайте ...</v>
      </c>
    </row>
    <row r="421" spans="1:8" s="16" customFormat="1" x14ac:dyDescent="0.25">
      <c r="A421" s="17">
        <v>411</v>
      </c>
      <c r="B421" s="17" t="s">
        <v>9</v>
      </c>
      <c r="C421" s="17" t="s">
        <v>428</v>
      </c>
      <c r="D421" s="18">
        <v>12</v>
      </c>
      <c r="E421" s="18">
        <v>0.46</v>
      </c>
      <c r="F421" s="18">
        <v>0.55000000000000004</v>
      </c>
      <c r="G421" s="20" t="s">
        <v>429</v>
      </c>
      <c r="H421" s="19" t="str">
        <f>HYPERLINK("https://elefant.by/catalogue/588419588","Посмотреть на сайте ...")</f>
        <v>Посмотреть на сайте ...</v>
      </c>
    </row>
    <row r="422" spans="1:8" s="16" customFormat="1" x14ac:dyDescent="0.25">
      <c r="A422" s="17">
        <v>412</v>
      </c>
      <c r="B422" s="17" t="s">
        <v>9</v>
      </c>
      <c r="C422" s="17" t="s">
        <v>3112</v>
      </c>
      <c r="D422" s="18">
        <v>42</v>
      </c>
      <c r="E422" s="18">
        <v>0.38</v>
      </c>
      <c r="F422" s="18">
        <v>0.46</v>
      </c>
      <c r="G422" s="20" t="s">
        <v>430</v>
      </c>
      <c r="H422" s="19" t="str">
        <f>HYPERLINK("https://elefant.by/catalogue/644871652","Посмотреть на сайте ...")</f>
        <v>Посмотреть на сайте ...</v>
      </c>
    </row>
    <row r="423" spans="1:8" s="16" customFormat="1" x14ac:dyDescent="0.25">
      <c r="A423" s="17">
        <v>413</v>
      </c>
      <c r="B423" s="17" t="s">
        <v>9</v>
      </c>
      <c r="C423" s="17" t="s">
        <v>3113</v>
      </c>
      <c r="D423" s="18">
        <v>12</v>
      </c>
      <c r="E423" s="18">
        <v>0.46</v>
      </c>
      <c r="F423" s="18">
        <v>0.55000000000000004</v>
      </c>
      <c r="G423" s="20" t="s">
        <v>4250</v>
      </c>
      <c r="H423" s="19" t="str">
        <f>HYPERLINK("https://elefant.by/catalogue/588419586","Посмотреть на сайте ...")</f>
        <v>Посмотреть на сайте ...</v>
      </c>
    </row>
    <row r="424" spans="1:8" s="16" customFormat="1" x14ac:dyDescent="0.25">
      <c r="A424" s="17">
        <v>414</v>
      </c>
      <c r="B424" s="17" t="s">
        <v>9</v>
      </c>
      <c r="C424" s="17" t="s">
        <v>3114</v>
      </c>
      <c r="D424" s="18">
        <v>12</v>
      </c>
      <c r="E424" s="18">
        <v>0.47</v>
      </c>
      <c r="F424" s="18">
        <v>0.56000000000000005</v>
      </c>
      <c r="G424" s="20" t="s">
        <v>431</v>
      </c>
      <c r="H424" s="19" t="str">
        <f>HYPERLINK("https://elefant.by/catalogue/194191080","Посмотреть на сайте ...")</f>
        <v>Посмотреть на сайте ...</v>
      </c>
    </row>
    <row r="425" spans="1:8" s="16" customFormat="1" x14ac:dyDescent="0.25">
      <c r="A425" s="17">
        <v>415</v>
      </c>
      <c r="B425" s="17" t="s">
        <v>9</v>
      </c>
      <c r="C425" s="17" t="s">
        <v>432</v>
      </c>
      <c r="D425" s="18">
        <v>12</v>
      </c>
      <c r="E425" s="18">
        <v>0.47</v>
      </c>
      <c r="F425" s="18">
        <v>0.56000000000000005</v>
      </c>
      <c r="G425" s="20" t="s">
        <v>433</v>
      </c>
      <c r="H425" s="19" t="str">
        <f>HYPERLINK("https://elefant.by/catalogue/609768792","Посмотреть на сайте ...")</f>
        <v>Посмотреть на сайте ...</v>
      </c>
    </row>
    <row r="426" spans="1:8" s="16" customFormat="1" x14ac:dyDescent="0.25">
      <c r="A426" s="17">
        <v>416</v>
      </c>
      <c r="B426" s="17" t="s">
        <v>9</v>
      </c>
      <c r="C426" s="17" t="s">
        <v>434</v>
      </c>
      <c r="D426" s="18">
        <v>12</v>
      </c>
      <c r="E426" s="18">
        <v>0.63</v>
      </c>
      <c r="F426" s="18">
        <v>0.76</v>
      </c>
      <c r="G426" s="20" t="s">
        <v>435</v>
      </c>
      <c r="H426" s="19" t="str">
        <f>HYPERLINK("https://elefant.by/catalogue/609768794","Посмотреть на сайте ...")</f>
        <v>Посмотреть на сайте ...</v>
      </c>
    </row>
    <row r="427" spans="1:8" s="16" customFormat="1" x14ac:dyDescent="0.25">
      <c r="A427" s="17">
        <v>417</v>
      </c>
      <c r="B427" s="17" t="s">
        <v>24</v>
      </c>
      <c r="C427" s="17" t="s">
        <v>436</v>
      </c>
      <c r="D427" s="18">
        <v>12</v>
      </c>
      <c r="E427" s="18">
        <v>12.96</v>
      </c>
      <c r="F427" s="18">
        <v>15.55</v>
      </c>
      <c r="G427" s="20" t="s">
        <v>437</v>
      </c>
      <c r="H427" s="19" t="str">
        <f>HYPERLINK("https://elefant.by/catalogue/152194460","Посмотреть на сайте ...")</f>
        <v>Посмотреть на сайте ...</v>
      </c>
    </row>
    <row r="428" spans="1:8" s="16" customFormat="1" x14ac:dyDescent="0.25">
      <c r="A428" s="17">
        <v>418</v>
      </c>
      <c r="B428" s="17" t="s">
        <v>24</v>
      </c>
      <c r="C428" s="17" t="s">
        <v>438</v>
      </c>
      <c r="D428" s="18">
        <v>12</v>
      </c>
      <c r="E428" s="18">
        <v>12.96</v>
      </c>
      <c r="F428" s="18">
        <v>15.55</v>
      </c>
      <c r="G428" s="20" t="s">
        <v>439</v>
      </c>
      <c r="H428" s="19" t="str">
        <f>HYPERLINK("https://elefant.by/catalogue/152517714","Посмотреть на сайте ...")</f>
        <v>Посмотреть на сайте ...</v>
      </c>
    </row>
    <row r="429" spans="1:8" s="16" customFormat="1" x14ac:dyDescent="0.25">
      <c r="A429" s="17">
        <v>419</v>
      </c>
      <c r="B429" s="17" t="s">
        <v>24</v>
      </c>
      <c r="C429" s="17" t="s">
        <v>440</v>
      </c>
      <c r="D429" s="18">
        <v>12</v>
      </c>
      <c r="E429" s="18">
        <v>0.72</v>
      </c>
      <c r="F429" s="18">
        <v>0.86</v>
      </c>
      <c r="G429" s="20" t="s">
        <v>441</v>
      </c>
      <c r="H429" s="19" t="str">
        <f>HYPERLINK("https://elefant.by/catalogue/147111057","Посмотреть на сайте ...")</f>
        <v>Посмотреть на сайте ...</v>
      </c>
    </row>
    <row r="430" spans="1:8" s="16" customFormat="1" x14ac:dyDescent="0.25">
      <c r="A430" s="17">
        <v>420</v>
      </c>
      <c r="B430" s="17" t="s">
        <v>24</v>
      </c>
      <c r="C430" s="17" t="s">
        <v>442</v>
      </c>
      <c r="D430" s="18">
        <v>12</v>
      </c>
      <c r="E430" s="18">
        <v>0.72</v>
      </c>
      <c r="F430" s="18">
        <v>0.86</v>
      </c>
      <c r="G430" s="20" t="s">
        <v>443</v>
      </c>
      <c r="H430" s="19" t="str">
        <f>HYPERLINK("https://elefant.by/catalogue/147111055","Посмотреть на сайте ...")</f>
        <v>Посмотреть на сайте ...</v>
      </c>
    </row>
    <row r="431" spans="1:8" s="16" customFormat="1" x14ac:dyDescent="0.25">
      <c r="A431" s="17">
        <v>421</v>
      </c>
      <c r="B431" s="17" t="s">
        <v>24</v>
      </c>
      <c r="C431" s="17" t="s">
        <v>444</v>
      </c>
      <c r="D431" s="18">
        <v>12</v>
      </c>
      <c r="E431" s="18">
        <v>0.72</v>
      </c>
      <c r="F431" s="18">
        <v>0.86</v>
      </c>
      <c r="G431" s="20" t="s">
        <v>445</v>
      </c>
      <c r="H431" s="19" t="str">
        <f>HYPERLINK("https://elefant.by/catalogue/147111070","Посмотреть на сайте ...")</f>
        <v>Посмотреть на сайте ...</v>
      </c>
    </row>
    <row r="432" spans="1:8" s="16" customFormat="1" x14ac:dyDescent="0.25">
      <c r="A432" s="17">
        <v>422</v>
      </c>
      <c r="B432" s="17" t="s">
        <v>24</v>
      </c>
      <c r="C432" s="17" t="s">
        <v>446</v>
      </c>
      <c r="D432" s="18">
        <v>12</v>
      </c>
      <c r="E432" s="18">
        <v>0.72</v>
      </c>
      <c r="F432" s="18">
        <v>0.86</v>
      </c>
      <c r="G432" s="20" t="s">
        <v>447</v>
      </c>
      <c r="H432" s="19" t="str">
        <f>HYPERLINK("https://elefant.by/catalogue/147111068","Посмотреть на сайте ...")</f>
        <v>Посмотреть на сайте ...</v>
      </c>
    </row>
    <row r="433" spans="1:8" s="16" customFormat="1" x14ac:dyDescent="0.25">
      <c r="A433" s="17">
        <v>423</v>
      </c>
      <c r="B433" s="17" t="s">
        <v>24</v>
      </c>
      <c r="C433" s="17" t="s">
        <v>448</v>
      </c>
      <c r="D433" s="18">
        <v>12</v>
      </c>
      <c r="E433" s="18">
        <v>0.72</v>
      </c>
      <c r="F433" s="18">
        <v>0.86</v>
      </c>
      <c r="G433" s="20" t="s">
        <v>449</v>
      </c>
      <c r="H433" s="19" t="str">
        <f>HYPERLINK("https://elefant.by/catalogue/147111074","Посмотреть на сайте ...")</f>
        <v>Посмотреть на сайте ...</v>
      </c>
    </row>
    <row r="434" spans="1:8" s="16" customFormat="1" x14ac:dyDescent="0.25">
      <c r="A434" s="17">
        <v>424</v>
      </c>
      <c r="B434" s="17" t="s">
        <v>24</v>
      </c>
      <c r="C434" s="17" t="s">
        <v>450</v>
      </c>
      <c r="D434" s="18">
        <v>12</v>
      </c>
      <c r="E434" s="18">
        <v>0.72</v>
      </c>
      <c r="F434" s="18">
        <v>0.86</v>
      </c>
      <c r="G434" s="20" t="s">
        <v>451</v>
      </c>
      <c r="H434" s="19" t="str">
        <f>HYPERLINK("https://elefant.by/catalogue/147111072","Посмотреть на сайте ...")</f>
        <v>Посмотреть на сайте ...</v>
      </c>
    </row>
    <row r="435" spans="1:8" s="16" customFormat="1" x14ac:dyDescent="0.25">
      <c r="A435" s="17">
        <v>425</v>
      </c>
      <c r="B435" s="17" t="s">
        <v>24</v>
      </c>
      <c r="C435" s="17" t="s">
        <v>452</v>
      </c>
      <c r="D435" s="18">
        <v>12</v>
      </c>
      <c r="E435" s="18">
        <v>0.72</v>
      </c>
      <c r="F435" s="18">
        <v>0.86</v>
      </c>
      <c r="G435" s="20" t="s">
        <v>453</v>
      </c>
      <c r="H435" s="19" t="str">
        <f>HYPERLINK("https://elefant.by/catalogue/147111078","Посмотреть на сайте ...")</f>
        <v>Посмотреть на сайте ...</v>
      </c>
    </row>
    <row r="436" spans="1:8" s="16" customFormat="1" x14ac:dyDescent="0.25">
      <c r="A436" s="17">
        <v>426</v>
      </c>
      <c r="B436" s="17" t="s">
        <v>24</v>
      </c>
      <c r="C436" s="17" t="s">
        <v>454</v>
      </c>
      <c r="D436" s="18">
        <v>12</v>
      </c>
      <c r="E436" s="18">
        <v>0.72</v>
      </c>
      <c r="F436" s="18">
        <v>0.86</v>
      </c>
      <c r="G436" s="20" t="s">
        <v>455</v>
      </c>
      <c r="H436" s="19" t="str">
        <f>HYPERLINK("https://elefant.by/catalogue/147111076","Посмотреть на сайте ...")</f>
        <v>Посмотреть на сайте ...</v>
      </c>
    </row>
    <row r="437" spans="1:8" s="16" customFormat="1" x14ac:dyDescent="0.25">
      <c r="A437" s="17">
        <v>427</v>
      </c>
      <c r="B437" s="17" t="s">
        <v>24</v>
      </c>
      <c r="C437" s="17" t="s">
        <v>456</v>
      </c>
      <c r="D437" s="18">
        <v>12</v>
      </c>
      <c r="E437" s="18">
        <v>0.72</v>
      </c>
      <c r="F437" s="18">
        <v>0.86</v>
      </c>
      <c r="G437" s="20" t="s">
        <v>457</v>
      </c>
      <c r="H437" s="19" t="str">
        <f>HYPERLINK("https://elefant.by/catalogue/159511465","Посмотреть на сайте ...")</f>
        <v>Посмотреть на сайте ...</v>
      </c>
    </row>
    <row r="438" spans="1:8" s="16" customFormat="1" x14ac:dyDescent="0.25">
      <c r="A438" s="17">
        <v>428</v>
      </c>
      <c r="B438" s="17" t="s">
        <v>24</v>
      </c>
      <c r="C438" s="17" t="s">
        <v>458</v>
      </c>
      <c r="D438" s="18">
        <v>12</v>
      </c>
      <c r="E438" s="18">
        <v>0.72</v>
      </c>
      <c r="F438" s="18">
        <v>0.86</v>
      </c>
      <c r="G438" s="20" t="s">
        <v>459</v>
      </c>
      <c r="H438" s="19" t="str">
        <f>HYPERLINK("https://elefant.by/catalogue/147111080","Посмотреть на сайте ...")</f>
        <v>Посмотреть на сайте ...</v>
      </c>
    </row>
    <row r="439" spans="1:8" s="16" customFormat="1" x14ac:dyDescent="0.25">
      <c r="A439" s="17">
        <v>429</v>
      </c>
      <c r="B439" s="17" t="s">
        <v>24</v>
      </c>
      <c r="C439" s="17" t="s">
        <v>460</v>
      </c>
      <c r="D439" s="18">
        <v>12</v>
      </c>
      <c r="E439" s="18">
        <v>0.72</v>
      </c>
      <c r="F439" s="18">
        <v>0.86</v>
      </c>
      <c r="G439" s="20" t="s">
        <v>461</v>
      </c>
      <c r="H439" s="19" t="str">
        <f>HYPERLINK("https://elefant.by/catalogue/159511466","Посмотреть на сайте ...")</f>
        <v>Посмотреть на сайте ...</v>
      </c>
    </row>
    <row r="440" spans="1:8" s="16" customFormat="1" x14ac:dyDescent="0.25">
      <c r="A440" s="17">
        <v>430</v>
      </c>
      <c r="B440" s="17" t="s">
        <v>24</v>
      </c>
      <c r="C440" s="17" t="s">
        <v>462</v>
      </c>
      <c r="D440" s="18">
        <v>12</v>
      </c>
      <c r="E440" s="18">
        <v>0.72</v>
      </c>
      <c r="F440" s="18">
        <v>0.86</v>
      </c>
      <c r="G440" s="20" t="s">
        <v>463</v>
      </c>
      <c r="H440" s="19" t="str">
        <f>HYPERLINK("https://elefant.by/catalogue/147111082","Посмотреть на сайте ...")</f>
        <v>Посмотреть на сайте ...</v>
      </c>
    </row>
    <row r="441" spans="1:8" s="16" customFormat="1" x14ac:dyDescent="0.25">
      <c r="A441" s="17">
        <v>431</v>
      </c>
      <c r="B441" s="17" t="s">
        <v>24</v>
      </c>
      <c r="C441" s="17" t="s">
        <v>464</v>
      </c>
      <c r="D441" s="18">
        <v>12</v>
      </c>
      <c r="E441" s="18">
        <v>0.72</v>
      </c>
      <c r="F441" s="18">
        <v>0.86</v>
      </c>
      <c r="G441" s="20" t="s">
        <v>465</v>
      </c>
      <c r="H441" s="19" t="str">
        <f>HYPERLINK("https://elefant.by/catalogue/147111086","Посмотреть на сайте ...")</f>
        <v>Посмотреть на сайте ...</v>
      </c>
    </row>
    <row r="442" spans="1:8" s="16" customFormat="1" x14ac:dyDescent="0.25">
      <c r="A442" s="17">
        <v>432</v>
      </c>
      <c r="B442" s="17" t="s">
        <v>24</v>
      </c>
      <c r="C442" s="17" t="s">
        <v>466</v>
      </c>
      <c r="D442" s="18">
        <v>12</v>
      </c>
      <c r="E442" s="18">
        <v>0.72</v>
      </c>
      <c r="F442" s="18">
        <v>0.86</v>
      </c>
      <c r="G442" s="20" t="s">
        <v>467</v>
      </c>
      <c r="H442" s="19" t="str">
        <f>HYPERLINK("https://elefant.by/catalogue/147111094","Посмотреть на сайте ...")</f>
        <v>Посмотреть на сайте ...</v>
      </c>
    </row>
    <row r="443" spans="1:8" s="16" customFormat="1" x14ac:dyDescent="0.25">
      <c r="A443" s="17">
        <v>433</v>
      </c>
      <c r="B443" s="17" t="s">
        <v>24</v>
      </c>
      <c r="C443" s="17" t="s">
        <v>468</v>
      </c>
      <c r="D443" s="18">
        <v>12</v>
      </c>
      <c r="E443" s="18">
        <v>0.72</v>
      </c>
      <c r="F443" s="18">
        <v>0.86</v>
      </c>
      <c r="G443" s="20" t="s">
        <v>469</v>
      </c>
      <c r="H443" s="19" t="str">
        <f>HYPERLINK("https://elefant.by/catalogue/147111096","Посмотреть на сайте ...")</f>
        <v>Посмотреть на сайте ...</v>
      </c>
    </row>
    <row r="444" spans="1:8" s="16" customFormat="1" x14ac:dyDescent="0.25">
      <c r="A444" s="17">
        <v>434</v>
      </c>
      <c r="B444" s="17" t="s">
        <v>24</v>
      </c>
      <c r="C444" s="17" t="s">
        <v>470</v>
      </c>
      <c r="D444" s="18">
        <v>12</v>
      </c>
      <c r="E444" s="18">
        <v>0.72</v>
      </c>
      <c r="F444" s="18">
        <v>0.86</v>
      </c>
      <c r="G444" s="20" t="s">
        <v>471</v>
      </c>
      <c r="H444" s="19" t="str">
        <f>HYPERLINK("https://elefant.by/catalogue/147111098","Посмотреть на сайте ...")</f>
        <v>Посмотреть на сайте ...</v>
      </c>
    </row>
    <row r="445" spans="1:8" s="16" customFormat="1" x14ac:dyDescent="0.25">
      <c r="A445" s="17">
        <v>435</v>
      </c>
      <c r="B445" s="17" t="s">
        <v>24</v>
      </c>
      <c r="C445" s="17" t="s">
        <v>472</v>
      </c>
      <c r="D445" s="18">
        <v>12</v>
      </c>
      <c r="E445" s="18">
        <v>0.72</v>
      </c>
      <c r="F445" s="18">
        <v>0.86</v>
      </c>
      <c r="G445" s="20" t="s">
        <v>473</v>
      </c>
      <c r="H445" s="19" t="str">
        <f>HYPERLINK("https://elefant.by/catalogue/147111092","Посмотреть на сайте ...")</f>
        <v>Посмотреть на сайте ...</v>
      </c>
    </row>
    <row r="446" spans="1:8" s="16" customFormat="1" x14ac:dyDescent="0.25">
      <c r="A446" s="17">
        <v>436</v>
      </c>
      <c r="B446" s="17" t="s">
        <v>24</v>
      </c>
      <c r="C446" s="17" t="s">
        <v>3115</v>
      </c>
      <c r="D446" s="18">
        <v>24</v>
      </c>
      <c r="E446" s="18">
        <v>2.27</v>
      </c>
      <c r="F446" s="18">
        <v>2.72</v>
      </c>
      <c r="G446" s="20" t="s">
        <v>474</v>
      </c>
      <c r="H446" s="19" t="str">
        <f>HYPERLINK("https://elefant.by/catalogue/190866243","Посмотреть на сайте ...")</f>
        <v>Посмотреть на сайте ...</v>
      </c>
    </row>
    <row r="447" spans="1:8" s="16" customFormat="1" x14ac:dyDescent="0.25">
      <c r="A447" s="17">
        <v>437</v>
      </c>
      <c r="B447" s="17" t="s">
        <v>24</v>
      </c>
      <c r="C447" s="17" t="s">
        <v>475</v>
      </c>
      <c r="D447" s="18">
        <v>12</v>
      </c>
      <c r="E447" s="18">
        <v>11.48</v>
      </c>
      <c r="F447" s="18">
        <v>13.78</v>
      </c>
      <c r="G447" s="20" t="s">
        <v>476</v>
      </c>
      <c r="H447" s="19" t="str">
        <f>HYPERLINK("https://elefant.by/catalogue/171417494","Посмотреть на сайте ...")</f>
        <v>Посмотреть на сайте ...</v>
      </c>
    </row>
    <row r="448" spans="1:8" s="16" customFormat="1" x14ac:dyDescent="0.25">
      <c r="A448" s="17">
        <v>438</v>
      </c>
      <c r="B448" s="17" t="s">
        <v>24</v>
      </c>
      <c r="C448" s="17" t="s">
        <v>3116</v>
      </c>
      <c r="D448" s="18">
        <v>12</v>
      </c>
      <c r="E448" s="18">
        <v>3.63</v>
      </c>
      <c r="F448" s="18">
        <v>4.3600000000000003</v>
      </c>
      <c r="G448" s="20" t="s">
        <v>477</v>
      </c>
      <c r="H448" s="19" t="str">
        <f>HYPERLINK("https://elefant.by/catalogue/455278337","Посмотреть на сайте ...")</f>
        <v>Посмотреть на сайте ...</v>
      </c>
    </row>
    <row r="449" spans="1:8" s="16" customFormat="1" x14ac:dyDescent="0.25">
      <c r="A449" s="17">
        <v>439</v>
      </c>
      <c r="B449" s="17" t="s">
        <v>24</v>
      </c>
      <c r="C449" s="17" t="s">
        <v>478</v>
      </c>
      <c r="D449" s="18">
        <v>12</v>
      </c>
      <c r="E449" s="18">
        <v>17.05</v>
      </c>
      <c r="F449" s="18">
        <v>20.46</v>
      </c>
      <c r="G449" s="20" t="s">
        <v>479</v>
      </c>
      <c r="H449" s="19" t="str">
        <f>HYPERLINK("https://elefant.by/catalogue/155160194","Посмотреть на сайте ...")</f>
        <v>Посмотреть на сайте ...</v>
      </c>
    </row>
    <row r="450" spans="1:8" s="16" customFormat="1" x14ac:dyDescent="0.25">
      <c r="A450" s="17">
        <v>440</v>
      </c>
      <c r="B450" s="17" t="s">
        <v>24</v>
      </c>
      <c r="C450" s="17" t="s">
        <v>480</v>
      </c>
      <c r="D450" s="18">
        <v>24</v>
      </c>
      <c r="E450" s="18">
        <v>3.95</v>
      </c>
      <c r="F450" s="18">
        <v>4.74</v>
      </c>
      <c r="G450" s="20" t="s">
        <v>481</v>
      </c>
      <c r="H450" s="19" t="str">
        <f>HYPERLINK("https://elefant.by/catalogue/187987176","Посмотреть на сайте ...")</f>
        <v>Посмотреть на сайте ...</v>
      </c>
    </row>
    <row r="451" spans="1:8" s="16" customFormat="1" x14ac:dyDescent="0.25">
      <c r="A451" s="17">
        <v>441</v>
      </c>
      <c r="B451" s="17" t="s">
        <v>24</v>
      </c>
      <c r="C451" s="17" t="s">
        <v>482</v>
      </c>
      <c r="D451" s="18">
        <v>12</v>
      </c>
      <c r="E451" s="18">
        <v>0.27</v>
      </c>
      <c r="F451" s="18">
        <v>0.32</v>
      </c>
      <c r="G451" s="20" t="s">
        <v>483</v>
      </c>
      <c r="H451" s="19" t="str">
        <f>HYPERLINK("https://elefant.by/catalogue/159511472","Посмотреть на сайте ...")</f>
        <v>Посмотреть на сайте ...</v>
      </c>
    </row>
    <row r="452" spans="1:8" s="16" customFormat="1" x14ac:dyDescent="0.25">
      <c r="A452" s="17">
        <v>442</v>
      </c>
      <c r="B452" s="17" t="s">
        <v>24</v>
      </c>
      <c r="C452" s="17" t="s">
        <v>484</v>
      </c>
      <c r="D452" s="18">
        <v>144</v>
      </c>
      <c r="E452" s="18">
        <v>0.39</v>
      </c>
      <c r="F452" s="18">
        <v>0.47</v>
      </c>
      <c r="G452" s="20" t="s">
        <v>485</v>
      </c>
      <c r="H452" s="19" t="str">
        <f>HYPERLINK("https://elefant.by/catalogue/147108536","Посмотреть на сайте ...")</f>
        <v>Посмотреть на сайте ...</v>
      </c>
    </row>
    <row r="453" spans="1:8" s="16" customFormat="1" x14ac:dyDescent="0.25">
      <c r="A453" s="17">
        <v>443</v>
      </c>
      <c r="B453" s="17" t="s">
        <v>24</v>
      </c>
      <c r="C453" s="17" t="s">
        <v>486</v>
      </c>
      <c r="D453" s="18">
        <v>144</v>
      </c>
      <c r="E453" s="18">
        <v>0.39</v>
      </c>
      <c r="F453" s="18">
        <v>0.47</v>
      </c>
      <c r="G453" s="20" t="s">
        <v>487</v>
      </c>
      <c r="H453" s="19" t="str">
        <f>HYPERLINK("https://elefant.by/catalogue/147108608","Посмотреть на сайте ...")</f>
        <v>Посмотреть на сайте ...</v>
      </c>
    </row>
    <row r="454" spans="1:8" s="16" customFormat="1" x14ac:dyDescent="0.25">
      <c r="A454" s="17">
        <v>444</v>
      </c>
      <c r="B454" s="17" t="s">
        <v>24</v>
      </c>
      <c r="C454" s="17" t="s">
        <v>488</v>
      </c>
      <c r="D454" s="18">
        <v>144</v>
      </c>
      <c r="E454" s="18">
        <v>0.39</v>
      </c>
      <c r="F454" s="18">
        <v>0.47</v>
      </c>
      <c r="G454" s="20" t="s">
        <v>489</v>
      </c>
      <c r="H454" s="19" t="str">
        <f>HYPERLINK("https://elefant.by/catalogue/147111873","Посмотреть на сайте ...")</f>
        <v>Посмотреть на сайте ...</v>
      </c>
    </row>
    <row r="455" spans="1:8" s="16" customFormat="1" x14ac:dyDescent="0.25">
      <c r="A455" s="17">
        <v>445</v>
      </c>
      <c r="B455" s="17" t="s">
        <v>24</v>
      </c>
      <c r="C455" s="17" t="s">
        <v>490</v>
      </c>
      <c r="D455" s="18">
        <v>144</v>
      </c>
      <c r="E455" s="18">
        <v>0.39</v>
      </c>
      <c r="F455" s="18">
        <v>0.47</v>
      </c>
      <c r="G455" s="20" t="s">
        <v>491</v>
      </c>
      <c r="H455" s="19" t="str">
        <f>HYPERLINK("https://elefant.by/catalogue/147111875","Посмотреть на сайте ...")</f>
        <v>Посмотреть на сайте ...</v>
      </c>
    </row>
    <row r="456" spans="1:8" s="16" customFormat="1" x14ac:dyDescent="0.25">
      <c r="A456" s="17">
        <v>446</v>
      </c>
      <c r="B456" s="17" t="s">
        <v>24</v>
      </c>
      <c r="C456" s="17" t="s">
        <v>492</v>
      </c>
      <c r="D456" s="18">
        <v>12</v>
      </c>
      <c r="E456" s="18">
        <v>0.47</v>
      </c>
      <c r="F456" s="18">
        <v>0.56000000000000005</v>
      </c>
      <c r="G456" s="20" t="s">
        <v>493</v>
      </c>
      <c r="H456" s="19" t="str">
        <f>HYPERLINK("https://elefant.by/catalogue/159511474","Посмотреть на сайте ...")</f>
        <v>Посмотреть на сайте ...</v>
      </c>
    </row>
    <row r="457" spans="1:8" s="16" customFormat="1" x14ac:dyDescent="0.25">
      <c r="A457" s="17">
        <v>447</v>
      </c>
      <c r="B457" s="17" t="s">
        <v>24</v>
      </c>
      <c r="C457" s="17" t="s">
        <v>494</v>
      </c>
      <c r="D457" s="18">
        <v>12</v>
      </c>
      <c r="E457" s="18">
        <v>0.47</v>
      </c>
      <c r="F457" s="18">
        <v>0.56000000000000005</v>
      </c>
      <c r="G457" s="20" t="s">
        <v>495</v>
      </c>
      <c r="H457" s="19" t="str">
        <f>HYPERLINK("https://elefant.by/catalogue/147111493","Посмотреть на сайте ...")</f>
        <v>Посмотреть на сайте ...</v>
      </c>
    </row>
    <row r="458" spans="1:8" s="16" customFormat="1" x14ac:dyDescent="0.25">
      <c r="A458" s="17">
        <v>448</v>
      </c>
      <c r="B458" s="17" t="s">
        <v>24</v>
      </c>
      <c r="C458" s="17" t="s">
        <v>496</v>
      </c>
      <c r="D458" s="18">
        <v>12</v>
      </c>
      <c r="E458" s="18">
        <v>0.47</v>
      </c>
      <c r="F458" s="18">
        <v>0.56000000000000005</v>
      </c>
      <c r="G458" s="20" t="s">
        <v>497</v>
      </c>
      <c r="H458" s="19" t="str">
        <f>HYPERLINK("https://elefant.by/catalogue/147111495","Посмотреть на сайте ...")</f>
        <v>Посмотреть на сайте ...</v>
      </c>
    </row>
    <row r="459" spans="1:8" s="16" customFormat="1" x14ac:dyDescent="0.25">
      <c r="A459" s="17">
        <v>449</v>
      </c>
      <c r="B459" s="17" t="s">
        <v>24</v>
      </c>
      <c r="C459" s="17" t="s">
        <v>498</v>
      </c>
      <c r="D459" s="18">
        <v>12</v>
      </c>
      <c r="E459" s="18">
        <v>0.47</v>
      </c>
      <c r="F459" s="18">
        <v>0.56000000000000005</v>
      </c>
      <c r="G459" s="20" t="s">
        <v>499</v>
      </c>
      <c r="H459" s="19" t="str">
        <f>HYPERLINK("https://elefant.by/catalogue/147111112","Посмотреть на сайте ...")</f>
        <v>Посмотреть на сайте ...</v>
      </c>
    </row>
    <row r="460" spans="1:8" s="16" customFormat="1" x14ac:dyDescent="0.25">
      <c r="A460" s="17">
        <v>450</v>
      </c>
      <c r="B460" s="17" t="s">
        <v>24</v>
      </c>
      <c r="C460" s="17" t="s">
        <v>500</v>
      </c>
      <c r="D460" s="18">
        <v>12</v>
      </c>
      <c r="E460" s="18">
        <v>0.47</v>
      </c>
      <c r="F460" s="18">
        <v>0.56000000000000005</v>
      </c>
      <c r="G460" s="20" t="s">
        <v>501</v>
      </c>
      <c r="H460" s="19" t="str">
        <f>HYPERLINK("https://elefant.by/catalogue/147111497","Посмотреть на сайте ...")</f>
        <v>Посмотреть на сайте ...</v>
      </c>
    </row>
    <row r="461" spans="1:8" s="16" customFormat="1" x14ac:dyDescent="0.25">
      <c r="A461" s="17">
        <v>451</v>
      </c>
      <c r="B461" s="17" t="s">
        <v>24</v>
      </c>
      <c r="C461" s="17" t="s">
        <v>502</v>
      </c>
      <c r="D461" s="18">
        <v>12</v>
      </c>
      <c r="E461" s="18">
        <v>0.47</v>
      </c>
      <c r="F461" s="18">
        <v>0.56000000000000005</v>
      </c>
      <c r="G461" s="20" t="s">
        <v>503</v>
      </c>
      <c r="H461" s="19" t="str">
        <f>HYPERLINK("https://elefant.by/catalogue/147111877","Посмотреть на сайте ...")</f>
        <v>Посмотреть на сайте ...</v>
      </c>
    </row>
    <row r="462" spans="1:8" s="16" customFormat="1" x14ac:dyDescent="0.25">
      <c r="A462" s="17">
        <v>452</v>
      </c>
      <c r="B462" s="17" t="s">
        <v>24</v>
      </c>
      <c r="C462" s="17" t="s">
        <v>504</v>
      </c>
      <c r="D462" s="18">
        <v>12</v>
      </c>
      <c r="E462" s="18">
        <v>0.47</v>
      </c>
      <c r="F462" s="18">
        <v>0.56000000000000005</v>
      </c>
      <c r="G462" s="20" t="s">
        <v>505</v>
      </c>
      <c r="H462" s="19" t="str">
        <f>HYPERLINK("https://elefant.by/catalogue/151380338","Посмотреть на сайте ...")</f>
        <v>Посмотреть на сайте ...</v>
      </c>
    </row>
    <row r="463" spans="1:8" s="16" customFormat="1" x14ac:dyDescent="0.25">
      <c r="A463" s="17">
        <v>453</v>
      </c>
      <c r="B463" s="17" t="s">
        <v>24</v>
      </c>
      <c r="C463" s="17" t="s">
        <v>506</v>
      </c>
      <c r="D463" s="18">
        <v>12</v>
      </c>
      <c r="E463" s="18">
        <v>0.47</v>
      </c>
      <c r="F463" s="18">
        <v>0.56000000000000005</v>
      </c>
      <c r="G463" s="20" t="s">
        <v>507</v>
      </c>
      <c r="H463" s="19" t="str">
        <f>HYPERLINK("https://elefant.by/catalogue/147111879","Посмотреть на сайте ...")</f>
        <v>Посмотреть на сайте ...</v>
      </c>
    </row>
    <row r="464" spans="1:8" s="16" customFormat="1" x14ac:dyDescent="0.25">
      <c r="A464" s="17">
        <v>454</v>
      </c>
      <c r="B464" s="17" t="s">
        <v>24</v>
      </c>
      <c r="C464" s="17" t="s">
        <v>508</v>
      </c>
      <c r="D464" s="18">
        <v>30</v>
      </c>
      <c r="E464" s="18">
        <v>2.11</v>
      </c>
      <c r="F464" s="18">
        <v>2.5299999999999998</v>
      </c>
      <c r="G464" s="20" t="s">
        <v>509</v>
      </c>
      <c r="H464" s="19" t="str">
        <f>HYPERLINK("https://elefant.by/catalogue/156511134","Посмотреть на сайте ...")</f>
        <v>Посмотреть на сайте ...</v>
      </c>
    </row>
    <row r="465" spans="1:8" s="16" customFormat="1" x14ac:dyDescent="0.25">
      <c r="A465" s="17">
        <v>455</v>
      </c>
      <c r="B465" s="17" t="s">
        <v>24</v>
      </c>
      <c r="C465" s="17" t="s">
        <v>510</v>
      </c>
      <c r="D465" s="18">
        <v>30</v>
      </c>
      <c r="E465" s="18">
        <v>2.36</v>
      </c>
      <c r="F465" s="18">
        <v>2.83</v>
      </c>
      <c r="G465" s="20" t="s">
        <v>511</v>
      </c>
      <c r="H465" s="19" t="str">
        <f>HYPERLINK("https://elefant.by/catalogue/156511141","Посмотреть на сайте ...")</f>
        <v>Посмотреть на сайте ...</v>
      </c>
    </row>
    <row r="466" spans="1:8" s="16" customFormat="1" x14ac:dyDescent="0.25">
      <c r="A466" s="17">
        <v>456</v>
      </c>
      <c r="B466" s="17" t="s">
        <v>24</v>
      </c>
      <c r="C466" s="17" t="s">
        <v>512</v>
      </c>
      <c r="D466" s="18">
        <v>30</v>
      </c>
      <c r="E466" s="18">
        <v>2.11</v>
      </c>
      <c r="F466" s="18">
        <v>2.5299999999999998</v>
      </c>
      <c r="G466" s="20" t="s">
        <v>513</v>
      </c>
      <c r="H466" s="19" t="str">
        <f>HYPERLINK("https://elefant.by/catalogue/159520492","Посмотреть на сайте ...")</f>
        <v>Посмотреть на сайте ...</v>
      </c>
    </row>
    <row r="467" spans="1:8" s="16" customFormat="1" x14ac:dyDescent="0.25">
      <c r="A467" s="17">
        <v>457</v>
      </c>
      <c r="B467" s="17" t="s">
        <v>24</v>
      </c>
      <c r="C467" s="17" t="s">
        <v>514</v>
      </c>
      <c r="D467" s="18">
        <v>12</v>
      </c>
      <c r="E467" s="18">
        <v>0.8</v>
      </c>
      <c r="F467" s="18">
        <v>0.96</v>
      </c>
      <c r="G467" s="20" t="s">
        <v>515</v>
      </c>
      <c r="H467" s="19" t="str">
        <f>HYPERLINK("https://elefant.by/catalogue/150692286","Посмотреть на сайте ...")</f>
        <v>Посмотреть на сайте ...</v>
      </c>
    </row>
    <row r="468" spans="1:8" s="16" customFormat="1" x14ac:dyDescent="0.25">
      <c r="A468" s="17">
        <v>458</v>
      </c>
      <c r="B468" s="17" t="s">
        <v>24</v>
      </c>
      <c r="C468" s="17" t="s">
        <v>516</v>
      </c>
      <c r="D468" s="18">
        <v>12</v>
      </c>
      <c r="E468" s="18">
        <v>0.8</v>
      </c>
      <c r="F468" s="18">
        <v>0.96</v>
      </c>
      <c r="G468" s="20" t="s">
        <v>517</v>
      </c>
      <c r="H468" s="19" t="str">
        <f>HYPERLINK("https://elefant.by/catalogue/152199828","Посмотреть на сайте ...")</f>
        <v>Посмотреть на сайте ...</v>
      </c>
    </row>
    <row r="469" spans="1:8" s="16" customFormat="1" x14ac:dyDescent="0.25">
      <c r="A469" s="17">
        <v>459</v>
      </c>
      <c r="B469" s="17" t="s">
        <v>24</v>
      </c>
      <c r="C469" s="17" t="s">
        <v>518</v>
      </c>
      <c r="D469" s="18">
        <v>12</v>
      </c>
      <c r="E469" s="18">
        <v>0.8</v>
      </c>
      <c r="F469" s="18">
        <v>0.96</v>
      </c>
      <c r="G469" s="20" t="s">
        <v>519</v>
      </c>
      <c r="H469" s="19" t="str">
        <f>HYPERLINK("https://elefant.by/catalogue/150692371","Посмотреть на сайте ...")</f>
        <v>Посмотреть на сайте ...</v>
      </c>
    </row>
    <row r="470" spans="1:8" s="16" customFormat="1" x14ac:dyDescent="0.25">
      <c r="A470" s="17">
        <v>460</v>
      </c>
      <c r="B470" s="17" t="s">
        <v>24</v>
      </c>
      <c r="C470" s="17" t="s">
        <v>520</v>
      </c>
      <c r="D470" s="18">
        <v>12</v>
      </c>
      <c r="E470" s="18">
        <v>0.8</v>
      </c>
      <c r="F470" s="18">
        <v>0.96</v>
      </c>
      <c r="G470" s="20" t="s">
        <v>521</v>
      </c>
      <c r="H470" s="19" t="str">
        <f>HYPERLINK("https://elefant.by/catalogue/160157434","Посмотреть на сайте ...")</f>
        <v>Посмотреть на сайте ...</v>
      </c>
    </row>
    <row r="471" spans="1:8" s="16" customFormat="1" x14ac:dyDescent="0.25">
      <c r="A471" s="17">
        <v>461</v>
      </c>
      <c r="B471" s="17" t="s">
        <v>24</v>
      </c>
      <c r="C471" s="17" t="s">
        <v>522</v>
      </c>
      <c r="D471" s="18">
        <v>12</v>
      </c>
      <c r="E471" s="18">
        <v>0.26</v>
      </c>
      <c r="F471" s="18">
        <v>0.31</v>
      </c>
      <c r="G471" s="20" t="s">
        <v>523</v>
      </c>
      <c r="H471" s="19" t="str">
        <f>HYPERLINK("https://elefant.by/catalogue/165376847","Посмотреть на сайте ...")</f>
        <v>Посмотреть на сайте ...</v>
      </c>
    </row>
    <row r="472" spans="1:8" s="16" customFormat="1" x14ac:dyDescent="0.25">
      <c r="A472" s="17">
        <v>462</v>
      </c>
      <c r="B472" s="17" t="s">
        <v>24</v>
      </c>
      <c r="C472" s="17" t="s">
        <v>524</v>
      </c>
      <c r="D472" s="18">
        <v>12</v>
      </c>
      <c r="E472" s="18">
        <v>0.26</v>
      </c>
      <c r="F472" s="18">
        <v>0.31</v>
      </c>
      <c r="G472" s="20" t="s">
        <v>525</v>
      </c>
      <c r="H472" s="19" t="str">
        <f>HYPERLINK("https://elefant.by/catalogue/165376845","Посмотреть на сайте ...")</f>
        <v>Посмотреть на сайте ...</v>
      </c>
    </row>
    <row r="473" spans="1:8" s="16" customFormat="1" x14ac:dyDescent="0.25">
      <c r="A473" s="17">
        <v>463</v>
      </c>
      <c r="B473" s="17" t="s">
        <v>24</v>
      </c>
      <c r="C473" s="17" t="s">
        <v>532</v>
      </c>
      <c r="D473" s="18">
        <v>12</v>
      </c>
      <c r="E473" s="18">
        <v>1.35</v>
      </c>
      <c r="F473" s="18">
        <v>1.62</v>
      </c>
      <c r="G473" s="20" t="s">
        <v>533</v>
      </c>
      <c r="H473" s="19" t="str">
        <f>HYPERLINK("https://elefant.by/catalogue/152522338","Посмотреть на сайте ...")</f>
        <v>Посмотреть на сайте ...</v>
      </c>
    </row>
    <row r="474" spans="1:8" s="16" customFormat="1" x14ac:dyDescent="0.25">
      <c r="A474" s="17">
        <v>464</v>
      </c>
      <c r="B474" s="17" t="s">
        <v>24</v>
      </c>
      <c r="C474" s="17" t="s">
        <v>534</v>
      </c>
      <c r="D474" s="18">
        <v>12</v>
      </c>
      <c r="E474" s="18">
        <v>1.35</v>
      </c>
      <c r="F474" s="18">
        <v>1.62</v>
      </c>
      <c r="G474" s="20" t="s">
        <v>535</v>
      </c>
      <c r="H474" s="19" t="str">
        <f>HYPERLINK("https://elefant.by/catalogue/152522339","Посмотреть на сайте ...")</f>
        <v>Посмотреть на сайте ...</v>
      </c>
    </row>
    <row r="475" spans="1:8" s="16" customFormat="1" x14ac:dyDescent="0.25">
      <c r="A475" s="17">
        <v>465</v>
      </c>
      <c r="B475" s="17" t="s">
        <v>24</v>
      </c>
      <c r="C475" s="17" t="s">
        <v>536</v>
      </c>
      <c r="D475" s="18">
        <v>12</v>
      </c>
      <c r="E475" s="18">
        <v>1.35</v>
      </c>
      <c r="F475" s="18">
        <v>1.62</v>
      </c>
      <c r="G475" s="20" t="s">
        <v>537</v>
      </c>
      <c r="H475" s="19" t="str">
        <f>HYPERLINK("https://elefant.by/catalogue/171033606","Посмотреть на сайте ...")</f>
        <v>Посмотреть на сайте ...</v>
      </c>
    </row>
    <row r="476" spans="1:8" s="16" customFormat="1" x14ac:dyDescent="0.25">
      <c r="A476" s="17">
        <v>466</v>
      </c>
      <c r="B476" s="17" t="s">
        <v>24</v>
      </c>
      <c r="C476" s="17" t="s">
        <v>538</v>
      </c>
      <c r="D476" s="18">
        <v>12</v>
      </c>
      <c r="E476" s="18">
        <v>1.35</v>
      </c>
      <c r="F476" s="18">
        <v>1.62</v>
      </c>
      <c r="G476" s="20" t="s">
        <v>539</v>
      </c>
      <c r="H476" s="19" t="str">
        <f>HYPERLINK("https://elefant.by/catalogue/171033607","Посмотреть на сайте ...")</f>
        <v>Посмотреть на сайте ...</v>
      </c>
    </row>
    <row r="477" spans="1:8" s="16" customFormat="1" x14ac:dyDescent="0.25">
      <c r="A477" s="17">
        <v>467</v>
      </c>
      <c r="B477" s="17" t="s">
        <v>24</v>
      </c>
      <c r="C477" s="17" t="s">
        <v>540</v>
      </c>
      <c r="D477" s="18">
        <v>12</v>
      </c>
      <c r="E477" s="18">
        <v>1.35</v>
      </c>
      <c r="F477" s="18">
        <v>1.62</v>
      </c>
      <c r="G477" s="20" t="s">
        <v>541</v>
      </c>
      <c r="H477" s="19" t="str">
        <f>HYPERLINK("https://elefant.by/catalogue/159520497","Посмотреть на сайте ...")</f>
        <v>Посмотреть на сайте ...</v>
      </c>
    </row>
    <row r="478" spans="1:8" s="16" customFormat="1" x14ac:dyDescent="0.25">
      <c r="A478" s="17">
        <v>468</v>
      </c>
      <c r="B478" s="17" t="s">
        <v>24</v>
      </c>
      <c r="C478" s="17" t="s">
        <v>542</v>
      </c>
      <c r="D478" s="18">
        <v>144</v>
      </c>
      <c r="E478" s="18">
        <v>0.24</v>
      </c>
      <c r="F478" s="18">
        <v>0.28999999999999998</v>
      </c>
      <c r="G478" s="20" t="s">
        <v>543</v>
      </c>
      <c r="H478" s="19" t="str">
        <f>HYPERLINK("https://elefant.by/catalogue/150692259","Посмотреть на сайте ...")</f>
        <v>Посмотреть на сайте ...</v>
      </c>
    </row>
    <row r="479" spans="1:8" s="16" customFormat="1" x14ac:dyDescent="0.25">
      <c r="A479" s="17">
        <v>469</v>
      </c>
      <c r="B479" s="17" t="s">
        <v>24</v>
      </c>
      <c r="C479" s="17" t="s">
        <v>544</v>
      </c>
      <c r="D479" s="18">
        <v>144</v>
      </c>
      <c r="E479" s="18">
        <v>0.24</v>
      </c>
      <c r="F479" s="18">
        <v>0.28999999999999998</v>
      </c>
      <c r="G479" s="20" t="s">
        <v>545</v>
      </c>
      <c r="H479" s="19" t="str">
        <f>HYPERLINK("https://elefant.by/catalogue/158249931","Посмотреть на сайте ...")</f>
        <v>Посмотреть на сайте ...</v>
      </c>
    </row>
    <row r="480" spans="1:8" s="16" customFormat="1" x14ac:dyDescent="0.25">
      <c r="A480" s="17">
        <v>470</v>
      </c>
      <c r="B480" s="17" t="s">
        <v>24</v>
      </c>
      <c r="C480" s="17" t="s">
        <v>3118</v>
      </c>
      <c r="D480" s="18">
        <v>12</v>
      </c>
      <c r="E480" s="18">
        <v>0.56000000000000005</v>
      </c>
      <c r="F480" s="18">
        <v>0.67</v>
      </c>
      <c r="G480" s="20" t="s">
        <v>4252</v>
      </c>
      <c r="H480" s="19" t="str">
        <f>HYPERLINK("https://elefant.by/catalogue/148775723","Посмотреть на сайте ...")</f>
        <v>Посмотреть на сайте ...</v>
      </c>
    </row>
    <row r="481" spans="1:8" s="16" customFormat="1" x14ac:dyDescent="0.25">
      <c r="A481" s="17">
        <v>471</v>
      </c>
      <c r="B481" s="17" t="s">
        <v>24</v>
      </c>
      <c r="C481" s="17" t="s">
        <v>546</v>
      </c>
      <c r="D481" s="18">
        <v>12</v>
      </c>
      <c r="E481" s="18">
        <v>0.95</v>
      </c>
      <c r="F481" s="18">
        <v>1.1399999999999999</v>
      </c>
      <c r="G481" s="20" t="s">
        <v>547</v>
      </c>
      <c r="H481" s="19" t="str">
        <f>HYPERLINK("https://elefant.by/catalogue/168220888","Посмотреть на сайте ...")</f>
        <v>Посмотреть на сайте ...</v>
      </c>
    </row>
    <row r="482" spans="1:8" s="16" customFormat="1" x14ac:dyDescent="0.25">
      <c r="A482" s="17">
        <v>472</v>
      </c>
      <c r="B482" s="17" t="s">
        <v>24</v>
      </c>
      <c r="C482" s="17" t="s">
        <v>526</v>
      </c>
      <c r="D482" s="18">
        <v>12</v>
      </c>
      <c r="E482" s="18">
        <v>0.36</v>
      </c>
      <c r="F482" s="18">
        <v>0.43</v>
      </c>
      <c r="G482" s="20" t="s">
        <v>527</v>
      </c>
      <c r="H482" s="19" t="str">
        <f>HYPERLINK("https://elefant.by/catalogue/429942677","Посмотреть на сайте ...")</f>
        <v>Посмотреть на сайте ...</v>
      </c>
    </row>
    <row r="483" spans="1:8" s="16" customFormat="1" x14ac:dyDescent="0.25">
      <c r="A483" s="17">
        <v>473</v>
      </c>
      <c r="B483" s="17" t="s">
        <v>24</v>
      </c>
      <c r="C483" s="17" t="s">
        <v>528</v>
      </c>
      <c r="D483" s="18">
        <v>12</v>
      </c>
      <c r="E483" s="18">
        <v>0.36</v>
      </c>
      <c r="F483" s="18">
        <v>0.43</v>
      </c>
      <c r="G483" s="20" t="s">
        <v>529</v>
      </c>
      <c r="H483" s="19" t="str">
        <f>HYPERLINK("https://elefant.by/catalogue/293134824","Посмотреть на сайте ...")</f>
        <v>Посмотреть на сайте ...</v>
      </c>
    </row>
    <row r="484" spans="1:8" s="16" customFormat="1" x14ac:dyDescent="0.25">
      <c r="A484" s="17">
        <v>474</v>
      </c>
      <c r="B484" s="17" t="s">
        <v>24</v>
      </c>
      <c r="C484" s="17" t="s">
        <v>530</v>
      </c>
      <c r="D484" s="18">
        <v>144</v>
      </c>
      <c r="E484" s="18">
        <v>0.72</v>
      </c>
      <c r="F484" s="18">
        <v>0.86</v>
      </c>
      <c r="G484" s="20" t="s">
        <v>531</v>
      </c>
      <c r="H484" s="19" t="str">
        <f>HYPERLINK("https://elefant.by/catalogue/147399330","Посмотреть на сайте ...")</f>
        <v>Посмотреть на сайте ...</v>
      </c>
    </row>
    <row r="485" spans="1:8" s="16" customFormat="1" x14ac:dyDescent="0.25">
      <c r="A485" s="17">
        <v>475</v>
      </c>
      <c r="B485" s="17" t="s">
        <v>24</v>
      </c>
      <c r="C485" s="17" t="s">
        <v>3117</v>
      </c>
      <c r="D485" s="18">
        <v>144</v>
      </c>
      <c r="E485" s="18">
        <v>1.0900000000000001</v>
      </c>
      <c r="F485" s="18">
        <v>1.31</v>
      </c>
      <c r="G485" s="20" t="s">
        <v>4251</v>
      </c>
      <c r="H485" s="19" t="str">
        <f>HYPERLINK("https://elefant.by/catalogue/159511470","Посмотреть на сайте ...")</f>
        <v>Посмотреть на сайте ...</v>
      </c>
    </row>
    <row r="486" spans="1:8" s="16" customFormat="1" x14ac:dyDescent="0.25">
      <c r="A486" s="17">
        <v>476</v>
      </c>
      <c r="B486" s="17" t="s">
        <v>24</v>
      </c>
      <c r="C486" s="17" t="s">
        <v>548</v>
      </c>
      <c r="D486" s="18">
        <v>12</v>
      </c>
      <c r="E486" s="18">
        <v>0.36</v>
      </c>
      <c r="F486" s="18">
        <v>0.43</v>
      </c>
      <c r="G486" s="20" t="s">
        <v>549</v>
      </c>
      <c r="H486" s="19" t="str">
        <f>HYPERLINK("https://elefant.by/catalogue/147111043","Посмотреть на сайте ...")</f>
        <v>Посмотреть на сайте ...</v>
      </c>
    </row>
    <row r="487" spans="1:8" s="16" customFormat="1" x14ac:dyDescent="0.25">
      <c r="A487" s="17">
        <v>477</v>
      </c>
      <c r="B487" s="17" t="s">
        <v>24</v>
      </c>
      <c r="C487" s="17" t="s">
        <v>550</v>
      </c>
      <c r="D487" s="18">
        <v>12</v>
      </c>
      <c r="E487" s="18">
        <v>0.42</v>
      </c>
      <c r="F487" s="18">
        <v>0.5</v>
      </c>
      <c r="G487" s="20" t="s">
        <v>551</v>
      </c>
      <c r="H487" s="19" t="str">
        <f>HYPERLINK("https://elefant.by/catalogue/306456626","Посмотреть на сайте ...")</f>
        <v>Посмотреть на сайте ...</v>
      </c>
    </row>
    <row r="488" spans="1:8" s="16" customFormat="1" x14ac:dyDescent="0.25">
      <c r="A488" s="17">
        <v>478</v>
      </c>
      <c r="B488" s="17" t="s">
        <v>24</v>
      </c>
      <c r="C488" s="17" t="s">
        <v>552</v>
      </c>
      <c r="D488" s="18">
        <v>12</v>
      </c>
      <c r="E488" s="18">
        <v>0.42</v>
      </c>
      <c r="F488" s="18">
        <v>0.5</v>
      </c>
      <c r="G488" s="20" t="s">
        <v>553</v>
      </c>
      <c r="H488" s="19" t="str">
        <f>HYPERLINK("https://elefant.by/catalogue/153288140","Посмотреть на сайте ...")</f>
        <v>Посмотреть на сайте ...</v>
      </c>
    </row>
    <row r="489" spans="1:8" s="16" customFormat="1" x14ac:dyDescent="0.25">
      <c r="A489" s="17">
        <v>479</v>
      </c>
      <c r="B489" s="17" t="s">
        <v>24</v>
      </c>
      <c r="C489" s="17" t="s">
        <v>554</v>
      </c>
      <c r="D489" s="18">
        <v>6</v>
      </c>
      <c r="E489" s="18">
        <v>0.99</v>
      </c>
      <c r="F489" s="18">
        <v>1.19</v>
      </c>
      <c r="G489" s="20" t="s">
        <v>555</v>
      </c>
      <c r="H489" s="19" t="str">
        <f>HYPERLINK("https://elefant.by/catalogue/447297943","Посмотреть на сайте ...")</f>
        <v>Посмотреть на сайте ...</v>
      </c>
    </row>
    <row r="490" spans="1:8" s="16" customFormat="1" x14ac:dyDescent="0.25">
      <c r="A490" s="17">
        <v>480</v>
      </c>
      <c r="B490" s="17" t="s">
        <v>24</v>
      </c>
      <c r="C490" s="17" t="s">
        <v>556</v>
      </c>
      <c r="D490" s="18">
        <v>6</v>
      </c>
      <c r="E490" s="18">
        <v>0.99</v>
      </c>
      <c r="F490" s="18">
        <v>1.19</v>
      </c>
      <c r="G490" s="20" t="s">
        <v>557</v>
      </c>
      <c r="H490" s="19" t="str">
        <f>HYPERLINK("https://elefant.by/catalogue/483139062","Посмотреть на сайте ...")</f>
        <v>Посмотреть на сайте ...</v>
      </c>
    </row>
    <row r="491" spans="1:8" s="16" customFormat="1" x14ac:dyDescent="0.25">
      <c r="A491" s="17">
        <v>481</v>
      </c>
      <c r="B491" s="17" t="s">
        <v>24</v>
      </c>
      <c r="C491" s="17" t="s">
        <v>3119</v>
      </c>
      <c r="D491" s="18">
        <v>12</v>
      </c>
      <c r="E491" s="18">
        <v>0.76</v>
      </c>
      <c r="F491" s="18">
        <v>0.91</v>
      </c>
      <c r="G491" s="20" t="s">
        <v>4253</v>
      </c>
      <c r="H491" s="19" t="str">
        <f>HYPERLINK("https://elefant.by/catalogue/148186353","Посмотреть на сайте ...")</f>
        <v>Посмотреть на сайте ...</v>
      </c>
    </row>
    <row r="492" spans="1:8" s="16" customFormat="1" x14ac:dyDescent="0.25">
      <c r="A492" s="17">
        <v>482</v>
      </c>
      <c r="B492" s="17" t="s">
        <v>24</v>
      </c>
      <c r="C492" s="17" t="s">
        <v>558</v>
      </c>
      <c r="D492" s="18">
        <v>12</v>
      </c>
      <c r="E492" s="18">
        <v>0.76</v>
      </c>
      <c r="F492" s="18">
        <v>0.91</v>
      </c>
      <c r="G492" s="20" t="s">
        <v>559</v>
      </c>
      <c r="H492" s="19" t="str">
        <f>HYPERLINK("https://elefant.by/catalogue/147108787","Посмотреть на сайте ...")</f>
        <v>Посмотреть на сайте ...</v>
      </c>
    </row>
    <row r="493" spans="1:8" s="16" customFormat="1" x14ac:dyDescent="0.25">
      <c r="A493" s="17">
        <v>483</v>
      </c>
      <c r="B493" s="17" t="s">
        <v>24</v>
      </c>
      <c r="C493" s="17" t="s">
        <v>584</v>
      </c>
      <c r="D493" s="18">
        <v>12</v>
      </c>
      <c r="E493" s="18">
        <v>6.98</v>
      </c>
      <c r="F493" s="18">
        <v>8.3800000000000008</v>
      </c>
      <c r="G493" s="20" t="s">
        <v>585</v>
      </c>
      <c r="H493" s="19" t="str">
        <f>HYPERLINK("https://elefant.by/catalogue/148186349","Посмотреть на сайте ...")</f>
        <v>Посмотреть на сайте ...</v>
      </c>
    </row>
    <row r="494" spans="1:8" s="16" customFormat="1" x14ac:dyDescent="0.25">
      <c r="A494" s="17">
        <v>484</v>
      </c>
      <c r="B494" s="17" t="s">
        <v>24</v>
      </c>
      <c r="C494" s="17" t="s">
        <v>586</v>
      </c>
      <c r="D494" s="18">
        <v>12</v>
      </c>
      <c r="E494" s="18">
        <v>5.6</v>
      </c>
      <c r="F494" s="18">
        <v>6.72</v>
      </c>
      <c r="G494" s="20" t="s">
        <v>587</v>
      </c>
      <c r="H494" s="19" t="str">
        <f>HYPERLINK("https://elefant.by/catalogue/148186350","Посмотреть на сайте ...")</f>
        <v>Посмотреть на сайте ...</v>
      </c>
    </row>
    <row r="495" spans="1:8" s="16" customFormat="1" x14ac:dyDescent="0.25">
      <c r="A495" s="17">
        <v>485</v>
      </c>
      <c r="B495" s="17" t="s">
        <v>24</v>
      </c>
      <c r="C495" s="17" t="s">
        <v>588</v>
      </c>
      <c r="D495" s="18">
        <v>12</v>
      </c>
      <c r="E495" s="18">
        <v>5.87</v>
      </c>
      <c r="F495" s="18">
        <v>7.04</v>
      </c>
      <c r="G495" s="20" t="s">
        <v>589</v>
      </c>
      <c r="H495" s="19" t="str">
        <f>HYPERLINK("https://elefant.by/catalogue/148775748","Посмотреть на сайте ...")</f>
        <v>Посмотреть на сайте ...</v>
      </c>
    </row>
    <row r="496" spans="1:8" s="16" customFormat="1" x14ac:dyDescent="0.25">
      <c r="A496" s="17">
        <v>486</v>
      </c>
      <c r="B496" s="17" t="s">
        <v>24</v>
      </c>
      <c r="C496" s="17" t="s">
        <v>590</v>
      </c>
      <c r="D496" s="18">
        <v>12</v>
      </c>
      <c r="E496" s="18">
        <v>6.17</v>
      </c>
      <c r="F496" s="18">
        <v>7.4</v>
      </c>
      <c r="G496" s="20" t="s">
        <v>591</v>
      </c>
      <c r="H496" s="19" t="str">
        <f>HYPERLINK("https://elefant.by/catalogue/148186351","Посмотреть на сайте ...")</f>
        <v>Посмотреть на сайте ...</v>
      </c>
    </row>
    <row r="497" spans="1:8" s="16" customFormat="1" x14ac:dyDescent="0.25">
      <c r="A497" s="17">
        <v>487</v>
      </c>
      <c r="B497" s="17" t="s">
        <v>9</v>
      </c>
      <c r="C497" s="17" t="s">
        <v>592</v>
      </c>
      <c r="D497" s="18">
        <v>12</v>
      </c>
      <c r="E497" s="18">
        <v>1.84</v>
      </c>
      <c r="F497" s="18">
        <v>2.21</v>
      </c>
      <c r="G497" s="20" t="s">
        <v>593</v>
      </c>
      <c r="H497" s="19" t="str">
        <f>HYPERLINK("https://elefant.by/catalogue/175508169","Посмотреть на сайте ...")</f>
        <v>Посмотреть на сайте ...</v>
      </c>
    </row>
    <row r="498" spans="1:8" s="16" customFormat="1" x14ac:dyDescent="0.25">
      <c r="A498" s="17">
        <v>488</v>
      </c>
      <c r="B498" s="17" t="s">
        <v>24</v>
      </c>
      <c r="C498" s="17" t="s">
        <v>594</v>
      </c>
      <c r="D498" s="18">
        <v>20</v>
      </c>
      <c r="E498" s="18">
        <v>4.17</v>
      </c>
      <c r="F498" s="18">
        <v>5</v>
      </c>
      <c r="G498" s="20" t="s">
        <v>595</v>
      </c>
      <c r="H498" s="19" t="str">
        <f>HYPERLINK("https://elefant.by/catalogue/155992325","Посмотреть на сайте ...")</f>
        <v>Посмотреть на сайте ...</v>
      </c>
    </row>
    <row r="499" spans="1:8" s="16" customFormat="1" x14ac:dyDescent="0.25">
      <c r="A499" s="17">
        <v>489</v>
      </c>
      <c r="B499" s="17" t="s">
        <v>12</v>
      </c>
      <c r="C499" s="17" t="s">
        <v>600</v>
      </c>
      <c r="D499" s="18">
        <v>12</v>
      </c>
      <c r="E499" s="18">
        <v>0.46</v>
      </c>
      <c r="F499" s="18">
        <v>0.55000000000000004</v>
      </c>
      <c r="G499" s="20" t="s">
        <v>601</v>
      </c>
      <c r="H499" s="19" t="str">
        <f>HYPERLINK("https://elefant.by/catalogue/452522915","Посмотреть на сайте ...")</f>
        <v>Посмотреть на сайте ...</v>
      </c>
    </row>
    <row r="500" spans="1:8" s="16" customFormat="1" x14ac:dyDescent="0.25">
      <c r="A500" s="17">
        <v>490</v>
      </c>
      <c r="B500" s="17" t="s">
        <v>12</v>
      </c>
      <c r="C500" s="17" t="s">
        <v>602</v>
      </c>
      <c r="D500" s="18">
        <v>12</v>
      </c>
      <c r="E500" s="18">
        <v>0.37</v>
      </c>
      <c r="F500" s="18">
        <v>0.44</v>
      </c>
      <c r="G500" s="20" t="s">
        <v>603</v>
      </c>
      <c r="H500" s="19" t="str">
        <f>HYPERLINK("https://elefant.by/catalogue/643879276","Посмотреть на сайте ...")</f>
        <v>Посмотреть на сайте ...</v>
      </c>
    </row>
    <row r="501" spans="1:8" s="16" customFormat="1" x14ac:dyDescent="0.25">
      <c r="A501" s="17">
        <v>491</v>
      </c>
      <c r="B501" s="17" t="s">
        <v>24</v>
      </c>
      <c r="C501" s="17" t="s">
        <v>596</v>
      </c>
      <c r="D501" s="18">
        <v>10</v>
      </c>
      <c r="E501" s="18">
        <v>0.71</v>
      </c>
      <c r="F501" s="18">
        <v>0.85</v>
      </c>
      <c r="G501" s="20" t="s">
        <v>597</v>
      </c>
      <c r="H501" s="19" t="str">
        <f>HYPERLINK("https://elefant.by/catalogue/160923052","Посмотреть на сайте ...")</f>
        <v>Посмотреть на сайте ...</v>
      </c>
    </row>
    <row r="502" spans="1:8" s="16" customFormat="1" x14ac:dyDescent="0.25">
      <c r="A502" s="17">
        <v>492</v>
      </c>
      <c r="B502" s="17" t="s">
        <v>24</v>
      </c>
      <c r="C502" s="17" t="s">
        <v>598</v>
      </c>
      <c r="D502" s="18">
        <v>10</v>
      </c>
      <c r="E502" s="18">
        <v>0.71</v>
      </c>
      <c r="F502" s="18">
        <v>0.85</v>
      </c>
      <c r="G502" s="20" t="s">
        <v>599</v>
      </c>
      <c r="H502" s="19" t="str">
        <f>HYPERLINK("https://elefant.by/catalogue/160923051","Посмотреть на сайте ...")</f>
        <v>Посмотреть на сайте ...</v>
      </c>
    </row>
    <row r="503" spans="1:8" s="16" customFormat="1" x14ac:dyDescent="0.25">
      <c r="A503" s="17">
        <v>493</v>
      </c>
      <c r="B503" s="17" t="s">
        <v>3109</v>
      </c>
      <c r="C503" s="17" t="s">
        <v>3125</v>
      </c>
      <c r="D503" s="18">
        <v>30</v>
      </c>
      <c r="E503" s="18">
        <v>1.53</v>
      </c>
      <c r="F503" s="18">
        <v>1.84</v>
      </c>
      <c r="G503" s="20" t="s">
        <v>4256</v>
      </c>
      <c r="H503" s="19" t="str">
        <f>HYPERLINK("https://elefant.by/catalogue/704306602","Посмотреть на сайте ...")</f>
        <v>Посмотреть на сайте ...</v>
      </c>
    </row>
    <row r="504" spans="1:8" s="16" customFormat="1" x14ac:dyDescent="0.25">
      <c r="A504" s="17">
        <v>494</v>
      </c>
      <c r="B504" s="17" t="s">
        <v>3109</v>
      </c>
      <c r="C504" s="17" t="s">
        <v>3126</v>
      </c>
      <c r="D504" s="18">
        <v>48</v>
      </c>
      <c r="E504" s="18">
        <v>1.1399999999999999</v>
      </c>
      <c r="F504" s="18">
        <v>1.37</v>
      </c>
      <c r="G504" s="20" t="s">
        <v>4257</v>
      </c>
      <c r="H504" s="19" t="str">
        <f>HYPERLINK("https://elefant.by/catalogue/656576320","Посмотреть на сайте ...")</f>
        <v>Посмотреть на сайте ...</v>
      </c>
    </row>
    <row r="505" spans="1:8" s="16" customFormat="1" x14ac:dyDescent="0.25">
      <c r="A505" s="17">
        <v>495</v>
      </c>
      <c r="B505" s="17" t="s">
        <v>3109</v>
      </c>
      <c r="C505" s="17" t="s">
        <v>3127</v>
      </c>
      <c r="D505" s="18">
        <v>48</v>
      </c>
      <c r="E505" s="18">
        <v>1.1399999999999999</v>
      </c>
      <c r="F505" s="18">
        <v>1.37</v>
      </c>
      <c r="G505" s="20" t="s">
        <v>4258</v>
      </c>
      <c r="H505" s="19" t="str">
        <f>HYPERLINK("https://elefant.by/catalogue/651735972","Посмотреть на сайте ...")</f>
        <v>Посмотреть на сайте ...</v>
      </c>
    </row>
    <row r="506" spans="1:8" s="16" customFormat="1" x14ac:dyDescent="0.25">
      <c r="A506" s="17">
        <v>496</v>
      </c>
      <c r="B506" s="17" t="s">
        <v>3109</v>
      </c>
      <c r="C506" s="17" t="s">
        <v>3128</v>
      </c>
      <c r="D506" s="18">
        <v>48</v>
      </c>
      <c r="E506" s="18">
        <v>1.1399999999999999</v>
      </c>
      <c r="F506" s="18">
        <v>1.37</v>
      </c>
      <c r="G506" s="20" t="s">
        <v>4259</v>
      </c>
      <c r="H506" s="19" t="str">
        <f>HYPERLINK("https://elefant.by/catalogue/656576319","Посмотреть на сайте ...")</f>
        <v>Посмотреть на сайте ...</v>
      </c>
    </row>
    <row r="507" spans="1:8" s="16" customFormat="1" x14ac:dyDescent="0.25">
      <c r="A507" s="17">
        <v>497</v>
      </c>
      <c r="B507" s="17" t="s">
        <v>3109</v>
      </c>
      <c r="C507" s="17" t="s">
        <v>3129</v>
      </c>
      <c r="D507" s="18">
        <v>48</v>
      </c>
      <c r="E507" s="18">
        <v>1.1399999999999999</v>
      </c>
      <c r="F507" s="18">
        <v>1.37</v>
      </c>
      <c r="G507" s="20" t="s">
        <v>4260</v>
      </c>
      <c r="H507" s="19" t="str">
        <f>HYPERLINK("https://elefant.by/catalogue/656576318","Посмотреть на сайте ...")</f>
        <v>Посмотреть на сайте ...</v>
      </c>
    </row>
    <row r="508" spans="1:8" s="16" customFormat="1" x14ac:dyDescent="0.25">
      <c r="A508" s="17">
        <v>498</v>
      </c>
      <c r="B508" s="17" t="s">
        <v>3109</v>
      </c>
      <c r="C508" s="17" t="s">
        <v>3130</v>
      </c>
      <c r="D508" s="18">
        <v>48</v>
      </c>
      <c r="E508" s="18">
        <v>1.26</v>
      </c>
      <c r="F508" s="18">
        <v>1.51</v>
      </c>
      <c r="G508" s="20" t="s">
        <v>4261</v>
      </c>
      <c r="H508" s="19" t="str">
        <f>HYPERLINK("https://elefant.by/catalogue/656576321","Посмотреть на сайте ...")</f>
        <v>Посмотреть на сайте ...</v>
      </c>
    </row>
    <row r="509" spans="1:8" s="16" customFormat="1" x14ac:dyDescent="0.25">
      <c r="A509" s="17">
        <v>499</v>
      </c>
      <c r="B509" s="17" t="s">
        <v>9</v>
      </c>
      <c r="C509" s="17" t="s">
        <v>604</v>
      </c>
      <c r="D509" s="18">
        <v>12</v>
      </c>
      <c r="E509" s="18">
        <v>1.83</v>
      </c>
      <c r="F509" s="18">
        <v>2.2000000000000002</v>
      </c>
      <c r="G509" s="20" t="s">
        <v>605</v>
      </c>
      <c r="H509" s="19" t="str">
        <f>HYPERLINK("https://elefant.by/catalogue/159103582","Посмотреть на сайте ...")</f>
        <v>Посмотреть на сайте ...</v>
      </c>
    </row>
    <row r="510" spans="1:8" s="16" customFormat="1" x14ac:dyDescent="0.25">
      <c r="A510" s="17">
        <v>500</v>
      </c>
      <c r="B510" s="17" t="s">
        <v>9</v>
      </c>
      <c r="C510" s="17" t="s">
        <v>606</v>
      </c>
      <c r="D510" s="18">
        <v>12</v>
      </c>
      <c r="E510" s="18">
        <v>0.71</v>
      </c>
      <c r="F510" s="18">
        <v>0.85</v>
      </c>
      <c r="G510" s="20" t="s">
        <v>607</v>
      </c>
      <c r="H510" s="19" t="str">
        <f>HYPERLINK("https://elefant.by/catalogue/159103581","Посмотреть на сайте ...")</f>
        <v>Посмотреть на сайте ...</v>
      </c>
    </row>
    <row r="511" spans="1:8" s="16" customFormat="1" x14ac:dyDescent="0.25">
      <c r="A511" s="17">
        <v>501</v>
      </c>
      <c r="B511" s="17" t="s">
        <v>9</v>
      </c>
      <c r="C511" s="17" t="s">
        <v>608</v>
      </c>
      <c r="D511" s="18">
        <v>12</v>
      </c>
      <c r="E511" s="18">
        <v>1.44</v>
      </c>
      <c r="F511" s="18">
        <v>1.73</v>
      </c>
      <c r="G511" s="20" t="s">
        <v>609</v>
      </c>
      <c r="H511" s="19" t="str">
        <f>HYPERLINK("https://elefant.by/catalogue/154571075","Посмотреть на сайте ...")</f>
        <v>Посмотреть на сайте ...</v>
      </c>
    </row>
    <row r="512" spans="1:8" s="16" customFormat="1" x14ac:dyDescent="0.25">
      <c r="A512" s="17">
        <v>502</v>
      </c>
      <c r="B512" s="17" t="s">
        <v>9</v>
      </c>
      <c r="C512" s="17" t="s">
        <v>610</v>
      </c>
      <c r="D512" s="18">
        <v>12</v>
      </c>
      <c r="E512" s="18">
        <v>1.08</v>
      </c>
      <c r="F512" s="18">
        <v>1.3</v>
      </c>
      <c r="G512" s="20" t="s">
        <v>611</v>
      </c>
      <c r="H512" s="19" t="str">
        <f>HYPERLINK("https://elefant.by/catalogue/154571074","Посмотреть на сайте ...")</f>
        <v>Посмотреть на сайте ...</v>
      </c>
    </row>
    <row r="513" spans="1:8" s="16" customFormat="1" x14ac:dyDescent="0.25">
      <c r="A513" s="17">
        <v>503</v>
      </c>
      <c r="B513" s="17" t="s">
        <v>9</v>
      </c>
      <c r="C513" s="17" t="s">
        <v>612</v>
      </c>
      <c r="D513" s="18">
        <v>60</v>
      </c>
      <c r="E513" s="18">
        <v>0.69</v>
      </c>
      <c r="F513" s="18">
        <v>0.83</v>
      </c>
      <c r="G513" s="20" t="s">
        <v>613</v>
      </c>
      <c r="H513" s="19" t="str">
        <f>HYPERLINK("https://elefant.by/catalogue/577438411","Посмотреть на сайте ...")</f>
        <v>Посмотреть на сайте ...</v>
      </c>
    </row>
    <row r="514" spans="1:8" s="16" customFormat="1" x14ac:dyDescent="0.25">
      <c r="A514" s="17">
        <v>504</v>
      </c>
      <c r="B514" s="17" t="s">
        <v>9</v>
      </c>
      <c r="C514" s="17" t="s">
        <v>614</v>
      </c>
      <c r="D514" s="18">
        <v>12</v>
      </c>
      <c r="E514" s="18">
        <v>1.4</v>
      </c>
      <c r="F514" s="18">
        <v>1.68</v>
      </c>
      <c r="G514" s="20" t="s">
        <v>615</v>
      </c>
      <c r="H514" s="19" t="str">
        <f>HYPERLINK("https://elefant.by/catalogue/577438410","Посмотреть на сайте ...")</f>
        <v>Посмотреть на сайте ...</v>
      </c>
    </row>
    <row r="515" spans="1:8" s="16" customFormat="1" x14ac:dyDescent="0.25">
      <c r="A515" s="17">
        <v>505</v>
      </c>
      <c r="B515" s="17" t="s">
        <v>20</v>
      </c>
      <c r="C515" s="17" t="s">
        <v>616</v>
      </c>
      <c r="D515" s="18">
        <v>24</v>
      </c>
      <c r="E515" s="18">
        <v>0.48</v>
      </c>
      <c r="F515" s="18">
        <v>0.57999999999999996</v>
      </c>
      <c r="G515" s="20" t="s">
        <v>617</v>
      </c>
      <c r="H515" s="19" t="str">
        <f>HYPERLINK("https://elefant.by/catalogue/545887784","Посмотреть на сайте ...")</f>
        <v>Посмотреть на сайте ...</v>
      </c>
    </row>
    <row r="516" spans="1:8" s="16" customFormat="1" x14ac:dyDescent="0.25">
      <c r="A516" s="17">
        <v>506</v>
      </c>
      <c r="B516" s="17" t="s">
        <v>12</v>
      </c>
      <c r="C516" s="17" t="s">
        <v>571</v>
      </c>
      <c r="D516" s="18">
        <v>144</v>
      </c>
      <c r="E516" s="18">
        <v>0.16</v>
      </c>
      <c r="F516" s="18">
        <v>0.19</v>
      </c>
      <c r="G516" s="20" t="s">
        <v>572</v>
      </c>
      <c r="H516" s="19" t="str">
        <f>HYPERLINK("https://elefant.by/catalogue/523244541","Посмотреть на сайте ...")</f>
        <v>Посмотреть на сайте ...</v>
      </c>
    </row>
    <row r="517" spans="1:8" s="16" customFormat="1" x14ac:dyDescent="0.25">
      <c r="A517" s="17">
        <v>507</v>
      </c>
      <c r="B517" s="17" t="s">
        <v>12</v>
      </c>
      <c r="C517" s="17" t="s">
        <v>573</v>
      </c>
      <c r="D517" s="18">
        <v>12</v>
      </c>
      <c r="E517" s="18">
        <v>0.16</v>
      </c>
      <c r="F517" s="18">
        <v>0.19</v>
      </c>
      <c r="G517" s="20" t="s">
        <v>574</v>
      </c>
      <c r="H517" s="19" t="str">
        <f>HYPERLINK("https://elefant.by/catalogue/525992150","Посмотреть на сайте ...")</f>
        <v>Посмотреть на сайте ...</v>
      </c>
    </row>
    <row r="518" spans="1:8" s="16" customFormat="1" x14ac:dyDescent="0.25">
      <c r="A518" s="17">
        <v>508</v>
      </c>
      <c r="B518" s="17" t="s">
        <v>12</v>
      </c>
      <c r="C518" s="17" t="s">
        <v>575</v>
      </c>
      <c r="D518" s="18">
        <v>144</v>
      </c>
      <c r="E518" s="18">
        <v>0.16</v>
      </c>
      <c r="F518" s="18">
        <v>0.19</v>
      </c>
      <c r="G518" s="20" t="s">
        <v>576</v>
      </c>
      <c r="H518" s="19" t="str">
        <f>HYPERLINK("https://elefant.by/catalogue/523244573","Посмотреть на сайте ...")</f>
        <v>Посмотреть на сайте ...</v>
      </c>
    </row>
    <row r="519" spans="1:8" s="16" customFormat="1" x14ac:dyDescent="0.25">
      <c r="A519" s="17">
        <v>509</v>
      </c>
      <c r="B519" s="17" t="s">
        <v>12</v>
      </c>
      <c r="C519" s="17" t="s">
        <v>577</v>
      </c>
      <c r="D519" s="18">
        <v>12</v>
      </c>
      <c r="E519" s="18">
        <v>0.16</v>
      </c>
      <c r="F519" s="18">
        <v>0.19</v>
      </c>
      <c r="G519" s="20" t="s">
        <v>578</v>
      </c>
      <c r="H519" s="19" t="str">
        <f>HYPERLINK("https://elefant.by/catalogue/525992151","Посмотреть на сайте ...")</f>
        <v>Посмотреть на сайте ...</v>
      </c>
    </row>
    <row r="520" spans="1:8" s="16" customFormat="1" x14ac:dyDescent="0.25">
      <c r="A520" s="17">
        <v>510</v>
      </c>
      <c r="B520" s="17" t="s">
        <v>12</v>
      </c>
      <c r="C520" s="17" t="s">
        <v>579</v>
      </c>
      <c r="D520" s="18">
        <v>12</v>
      </c>
      <c r="E520" s="18">
        <v>0.16</v>
      </c>
      <c r="F520" s="18">
        <v>0.19</v>
      </c>
      <c r="G520" s="20" t="s">
        <v>580</v>
      </c>
      <c r="H520" s="19" t="str">
        <f>HYPERLINK("https://elefant.by/catalogue/523244540","Посмотреть на сайте ...")</f>
        <v>Посмотреть на сайте ...</v>
      </c>
    </row>
    <row r="521" spans="1:8" s="16" customFormat="1" x14ac:dyDescent="0.25">
      <c r="A521" s="17">
        <v>511</v>
      </c>
      <c r="B521" s="17" t="s">
        <v>12</v>
      </c>
      <c r="C521" s="17" t="s">
        <v>581</v>
      </c>
      <c r="D521" s="18">
        <v>12</v>
      </c>
      <c r="E521" s="18">
        <v>0.17</v>
      </c>
      <c r="F521" s="18">
        <v>0.2</v>
      </c>
      <c r="G521" s="20" t="s">
        <v>582</v>
      </c>
      <c r="H521" s="19" t="str">
        <f>HYPERLINK("https://elefant.by/catalogue/525992115","Посмотреть на сайте ...")</f>
        <v>Посмотреть на сайте ...</v>
      </c>
    </row>
    <row r="522" spans="1:8" s="16" customFormat="1" x14ac:dyDescent="0.25">
      <c r="A522" s="17">
        <v>512</v>
      </c>
      <c r="B522" s="17" t="s">
        <v>9</v>
      </c>
      <c r="C522" s="17" t="s">
        <v>3131</v>
      </c>
      <c r="D522" s="18">
        <v>40</v>
      </c>
      <c r="E522" s="18">
        <v>0.89</v>
      </c>
      <c r="F522" s="18">
        <v>1.07</v>
      </c>
      <c r="G522" s="20" t="s">
        <v>4262</v>
      </c>
      <c r="H522" s="19" t="str">
        <f>HYPERLINK("https://elefant.by/catalogue/595748037","Посмотреть на сайте ...")</f>
        <v>Посмотреть на сайте ...</v>
      </c>
    </row>
    <row r="523" spans="1:8" s="16" customFormat="1" x14ac:dyDescent="0.25">
      <c r="A523" s="17">
        <v>513</v>
      </c>
      <c r="B523" s="17" t="s">
        <v>3132</v>
      </c>
      <c r="C523" s="17" t="s">
        <v>3133</v>
      </c>
      <c r="D523" s="18">
        <v>24</v>
      </c>
      <c r="E523" s="18">
        <v>0.99</v>
      </c>
      <c r="F523" s="18">
        <v>1.19</v>
      </c>
      <c r="G523" s="20" t="s">
        <v>4263</v>
      </c>
      <c r="H523" s="19" t="str">
        <f>HYPERLINK("https://elefant.by/catalogue/577726474","Посмотреть на сайте ...")</f>
        <v>Посмотреть на сайте ...</v>
      </c>
    </row>
    <row r="524" spans="1:8" s="16" customFormat="1" x14ac:dyDescent="0.25">
      <c r="A524" s="17">
        <v>514</v>
      </c>
      <c r="B524" s="17" t="s">
        <v>3132</v>
      </c>
      <c r="C524" s="17" t="s">
        <v>3134</v>
      </c>
      <c r="D524" s="18">
        <v>24</v>
      </c>
      <c r="E524" s="18">
        <v>0.99</v>
      </c>
      <c r="F524" s="18">
        <v>1.19</v>
      </c>
      <c r="G524" s="20" t="s">
        <v>4264</v>
      </c>
      <c r="H524" s="19" t="str">
        <f>HYPERLINK("https://elefant.by/catalogue/577726475","Посмотреть на сайте ...")</f>
        <v>Посмотреть на сайте ...</v>
      </c>
    </row>
    <row r="525" spans="1:8" s="16" customFormat="1" x14ac:dyDescent="0.25">
      <c r="A525" s="17">
        <v>515</v>
      </c>
      <c r="B525" s="17" t="s">
        <v>3132</v>
      </c>
      <c r="C525" s="17" t="s">
        <v>3135</v>
      </c>
      <c r="D525" s="18">
        <v>24</v>
      </c>
      <c r="E525" s="18">
        <v>0.99</v>
      </c>
      <c r="F525" s="18">
        <v>1.19</v>
      </c>
      <c r="G525" s="20" t="s">
        <v>4265</v>
      </c>
      <c r="H525" s="19" t="str">
        <f>HYPERLINK("https://elefant.by/catalogue/577726472","Посмотреть на сайте ...")</f>
        <v>Посмотреть на сайте ...</v>
      </c>
    </row>
    <row r="526" spans="1:8" s="16" customFormat="1" x14ac:dyDescent="0.25">
      <c r="A526" s="17">
        <v>516</v>
      </c>
      <c r="B526" s="17" t="s">
        <v>3132</v>
      </c>
      <c r="C526" s="17" t="s">
        <v>3136</v>
      </c>
      <c r="D526" s="18">
        <v>24</v>
      </c>
      <c r="E526" s="18">
        <v>0.99</v>
      </c>
      <c r="F526" s="18">
        <v>1.19</v>
      </c>
      <c r="G526" s="20" t="s">
        <v>4266</v>
      </c>
      <c r="H526" s="19" t="str">
        <f>HYPERLINK("https://elefant.by/catalogue/577726473","Посмотреть на сайте ...")</f>
        <v>Посмотреть на сайте ...</v>
      </c>
    </row>
    <row r="527" spans="1:8" s="16" customFormat="1" x14ac:dyDescent="0.25">
      <c r="A527" s="17">
        <v>517</v>
      </c>
      <c r="B527" s="17" t="s">
        <v>13</v>
      </c>
      <c r="C527" s="17" t="s">
        <v>3138</v>
      </c>
      <c r="D527" s="18">
        <v>15</v>
      </c>
      <c r="E527" s="18">
        <v>0.69</v>
      </c>
      <c r="F527" s="18">
        <v>0.83</v>
      </c>
      <c r="G527" s="20" t="s">
        <v>4267</v>
      </c>
      <c r="H527" s="19" t="str">
        <f>HYPERLINK("https://elefant.by/catalogue/589758925","Посмотреть на сайте ...")</f>
        <v>Посмотреть на сайте ...</v>
      </c>
    </row>
    <row r="528" spans="1:8" s="16" customFormat="1" x14ac:dyDescent="0.25">
      <c r="A528" s="17">
        <v>518</v>
      </c>
      <c r="B528" s="17" t="s">
        <v>17</v>
      </c>
      <c r="C528" s="17" t="s">
        <v>3139</v>
      </c>
      <c r="D528" s="18">
        <v>12</v>
      </c>
      <c r="E528" s="18">
        <v>1.57</v>
      </c>
      <c r="F528" s="18">
        <v>1.88</v>
      </c>
      <c r="G528" s="20" t="s">
        <v>4268</v>
      </c>
      <c r="H528" s="19" t="str">
        <f>HYPERLINK("https://elefant.by/catalogue/589767896","Посмотреть на сайте ...")</f>
        <v>Посмотреть на сайте ...</v>
      </c>
    </row>
    <row r="529" spans="1:8" s="16" customFormat="1" x14ac:dyDescent="0.25">
      <c r="A529" s="17">
        <v>519</v>
      </c>
      <c r="B529" s="17" t="s">
        <v>2891</v>
      </c>
      <c r="C529" s="17" t="s">
        <v>3140</v>
      </c>
      <c r="D529" s="18">
        <v>24</v>
      </c>
      <c r="E529" s="18">
        <v>2.93</v>
      </c>
      <c r="F529" s="18">
        <v>3.52</v>
      </c>
      <c r="G529" s="20" t="s">
        <v>4269</v>
      </c>
      <c r="H529" s="19" t="str">
        <f>HYPERLINK("https://elefant.by/catalogue/602898150","Посмотреть на сайте ...")</f>
        <v>Посмотреть на сайте ...</v>
      </c>
    </row>
    <row r="530" spans="1:8" s="16" customFormat="1" x14ac:dyDescent="0.25">
      <c r="A530" s="17">
        <v>520</v>
      </c>
      <c r="B530" s="17" t="s">
        <v>12</v>
      </c>
      <c r="C530" s="17" t="s">
        <v>3141</v>
      </c>
      <c r="D530" s="18">
        <v>12</v>
      </c>
      <c r="E530" s="18">
        <v>1.1499999999999999</v>
      </c>
      <c r="F530" s="18">
        <v>1.38</v>
      </c>
      <c r="G530" s="20" t="s">
        <v>4270</v>
      </c>
      <c r="H530" s="19" t="str">
        <f>HYPERLINK("https://elefant.by/catalogue/523367774","Посмотреть на сайте ...")</f>
        <v>Посмотреть на сайте ...</v>
      </c>
    </row>
    <row r="531" spans="1:8" s="16" customFormat="1" x14ac:dyDescent="0.25">
      <c r="A531" s="17">
        <v>521</v>
      </c>
      <c r="B531" s="17" t="s">
        <v>12</v>
      </c>
      <c r="C531" s="17" t="s">
        <v>3142</v>
      </c>
      <c r="D531" s="18">
        <v>12</v>
      </c>
      <c r="E531" s="18">
        <v>1.94</v>
      </c>
      <c r="F531" s="18">
        <v>2.33</v>
      </c>
      <c r="G531" s="20" t="s">
        <v>4271</v>
      </c>
      <c r="H531" s="19" t="str">
        <f>HYPERLINK("https://elefant.by/catalogue/523306715","Посмотреть на сайте ...")</f>
        <v>Посмотреть на сайте ...</v>
      </c>
    </row>
    <row r="532" spans="1:8" s="16" customFormat="1" x14ac:dyDescent="0.25">
      <c r="A532" s="17">
        <v>522</v>
      </c>
      <c r="B532" s="17" t="s">
        <v>12</v>
      </c>
      <c r="C532" s="17" t="s">
        <v>3143</v>
      </c>
      <c r="D532" s="18">
        <v>12</v>
      </c>
      <c r="E532" s="18">
        <v>2.6</v>
      </c>
      <c r="F532" s="18">
        <v>3.12</v>
      </c>
      <c r="G532" s="20" t="s">
        <v>4272</v>
      </c>
      <c r="H532" s="19" t="str">
        <f>HYPERLINK("https://elefant.by/catalogue/523367775","Посмотреть на сайте ...")</f>
        <v>Посмотреть на сайте ...</v>
      </c>
    </row>
    <row r="533" spans="1:8" s="16" customFormat="1" x14ac:dyDescent="0.25">
      <c r="A533" s="17">
        <v>523</v>
      </c>
      <c r="B533" s="17" t="s">
        <v>11</v>
      </c>
      <c r="C533" s="17" t="s">
        <v>3144</v>
      </c>
      <c r="D533" s="18">
        <v>10</v>
      </c>
      <c r="E533" s="18">
        <v>0.66</v>
      </c>
      <c r="F533" s="18">
        <v>0.79</v>
      </c>
      <c r="G533" s="20" t="s">
        <v>4273</v>
      </c>
      <c r="H533" s="19" t="str">
        <f>HYPERLINK("https://elefant.by/catalogue/357347285","Посмотреть на сайте ...")</f>
        <v>Посмотреть на сайте ...</v>
      </c>
    </row>
    <row r="534" spans="1:8" s="16" customFormat="1" x14ac:dyDescent="0.25">
      <c r="A534" s="17">
        <v>524</v>
      </c>
      <c r="B534" s="17" t="s">
        <v>11</v>
      </c>
      <c r="C534" s="17" t="s">
        <v>3145</v>
      </c>
      <c r="D534" s="18">
        <v>10</v>
      </c>
      <c r="E534" s="18">
        <v>0.5</v>
      </c>
      <c r="F534" s="18">
        <v>0.6</v>
      </c>
      <c r="G534" s="20" t="s">
        <v>4274</v>
      </c>
      <c r="H534" s="19" t="str">
        <f>HYPERLINK("https://elefant.by/catalogue/658091599","Посмотреть на сайте ...")</f>
        <v>Посмотреть на сайте ...</v>
      </c>
    </row>
    <row r="535" spans="1:8" s="16" customFormat="1" x14ac:dyDescent="0.25">
      <c r="A535" s="17">
        <v>525</v>
      </c>
      <c r="B535" s="17" t="s">
        <v>11</v>
      </c>
      <c r="C535" s="17" t="s">
        <v>3146</v>
      </c>
      <c r="D535" s="18">
        <v>10</v>
      </c>
      <c r="E535" s="18">
        <v>0.5</v>
      </c>
      <c r="F535" s="18">
        <v>0.6</v>
      </c>
      <c r="G535" s="20" t="s">
        <v>4275</v>
      </c>
      <c r="H535" s="19" t="str">
        <f>HYPERLINK("https://elefant.by/catalogue/658091598","Посмотреть на сайте ...")</f>
        <v>Посмотреть на сайте ...</v>
      </c>
    </row>
    <row r="536" spans="1:8" s="16" customFormat="1" x14ac:dyDescent="0.25">
      <c r="A536" s="17">
        <v>526</v>
      </c>
      <c r="B536" s="17" t="s">
        <v>11</v>
      </c>
      <c r="C536" s="17" t="s">
        <v>3147</v>
      </c>
      <c r="D536" s="18">
        <v>10</v>
      </c>
      <c r="E536" s="18">
        <v>0.5</v>
      </c>
      <c r="F536" s="18">
        <v>0.6</v>
      </c>
      <c r="G536" s="20" t="s">
        <v>4276</v>
      </c>
      <c r="H536" s="19" t="str">
        <f>HYPERLINK("https://elefant.by/catalogue/658091600","Посмотреть на сайте ...")</f>
        <v>Посмотреть на сайте ...</v>
      </c>
    </row>
    <row r="537" spans="1:8" s="16" customFormat="1" x14ac:dyDescent="0.25">
      <c r="A537" s="17">
        <v>527</v>
      </c>
      <c r="B537" s="17" t="s">
        <v>11</v>
      </c>
      <c r="C537" s="17" t="s">
        <v>3148</v>
      </c>
      <c r="D537" s="18">
        <v>50</v>
      </c>
      <c r="E537" s="18">
        <v>0.1</v>
      </c>
      <c r="F537" s="18">
        <v>0.12</v>
      </c>
      <c r="G537" s="20" t="s">
        <v>4277</v>
      </c>
      <c r="H537" s="19" t="str">
        <f>HYPERLINK("https://elefant.by/catalogue/456267200","Посмотреть на сайте ...")</f>
        <v>Посмотреть на сайте ...</v>
      </c>
    </row>
    <row r="538" spans="1:8" s="16" customFormat="1" x14ac:dyDescent="0.25">
      <c r="A538" s="17">
        <v>528</v>
      </c>
      <c r="B538" s="17" t="s">
        <v>11</v>
      </c>
      <c r="C538" s="17" t="s">
        <v>3149</v>
      </c>
      <c r="D538" s="18">
        <v>1</v>
      </c>
      <c r="E538" s="18">
        <v>2.96</v>
      </c>
      <c r="F538" s="18">
        <v>3.55</v>
      </c>
      <c r="G538" s="20"/>
      <c r="H538" s="19" t="str">
        <f>HYPERLINK("https://elefant.by/catalogue/656918058","Посмотреть на сайте ...")</f>
        <v>Посмотреть на сайте ...</v>
      </c>
    </row>
    <row r="539" spans="1:8" s="16" customFormat="1" x14ac:dyDescent="0.25">
      <c r="A539" s="17">
        <v>529</v>
      </c>
      <c r="B539" s="17" t="s">
        <v>3002</v>
      </c>
      <c r="C539" s="17" t="s">
        <v>3150</v>
      </c>
      <c r="D539" s="18">
        <v>1</v>
      </c>
      <c r="E539" s="18">
        <v>14.75</v>
      </c>
      <c r="F539" s="18">
        <v>17.7</v>
      </c>
      <c r="G539" s="20" t="s">
        <v>4278</v>
      </c>
      <c r="H539" s="19" t="str">
        <f>HYPERLINK("https://elefant.by/catalogue/325892634","Посмотреть на сайте ...")</f>
        <v>Посмотреть на сайте ...</v>
      </c>
    </row>
    <row r="540" spans="1:8" s="16" customFormat="1" x14ac:dyDescent="0.25">
      <c r="A540" s="17">
        <v>530</v>
      </c>
      <c r="B540" s="17" t="s">
        <v>3002</v>
      </c>
      <c r="C540" s="17" t="s">
        <v>3151</v>
      </c>
      <c r="D540" s="18">
        <v>1</v>
      </c>
      <c r="E540" s="18">
        <v>25.25</v>
      </c>
      <c r="F540" s="18">
        <v>30.3</v>
      </c>
      <c r="G540" s="20"/>
      <c r="H540" s="19" t="str">
        <f>HYPERLINK("https://elefant.by/catalogue/325892635","Посмотреть на сайте ...")</f>
        <v>Посмотреть на сайте ...</v>
      </c>
    </row>
    <row r="541" spans="1:8" s="16" customFormat="1" x14ac:dyDescent="0.25">
      <c r="A541" s="17">
        <v>531</v>
      </c>
      <c r="B541" s="17" t="s">
        <v>3003</v>
      </c>
      <c r="C541" s="17" t="s">
        <v>3152</v>
      </c>
      <c r="D541" s="18">
        <v>1</v>
      </c>
      <c r="E541" s="18">
        <v>13.71</v>
      </c>
      <c r="F541" s="18">
        <v>16.45</v>
      </c>
      <c r="G541" s="20" t="s">
        <v>4279</v>
      </c>
      <c r="H541" s="19" t="str">
        <f>HYPERLINK("https://elefant.by/catalogue/230749512","Посмотреть на сайте ...")</f>
        <v>Посмотреть на сайте ...</v>
      </c>
    </row>
    <row r="542" spans="1:8" s="16" customFormat="1" x14ac:dyDescent="0.25">
      <c r="A542" s="17">
        <v>532</v>
      </c>
      <c r="B542" s="17" t="s">
        <v>3002</v>
      </c>
      <c r="C542" s="17" t="s">
        <v>3153</v>
      </c>
      <c r="D542" s="18">
        <v>1</v>
      </c>
      <c r="E542" s="18">
        <v>14.75</v>
      </c>
      <c r="F542" s="18">
        <v>17.7</v>
      </c>
      <c r="G542" s="20"/>
      <c r="H542" s="19" t="str">
        <f>HYPERLINK("https://elefant.by/catalogue/325892638","Посмотреть на сайте ...")</f>
        <v>Посмотреть на сайте ...</v>
      </c>
    </row>
    <row r="543" spans="1:8" s="16" customFormat="1" x14ac:dyDescent="0.25">
      <c r="A543" s="17">
        <v>533</v>
      </c>
      <c r="B543" s="17" t="s">
        <v>227</v>
      </c>
      <c r="C543" s="17" t="s">
        <v>660</v>
      </c>
      <c r="D543" s="18">
        <v>1</v>
      </c>
      <c r="E543" s="18">
        <v>10.86</v>
      </c>
      <c r="F543" s="18">
        <v>13.03</v>
      </c>
      <c r="G543" s="20" t="s">
        <v>661</v>
      </c>
      <c r="H543" s="19" t="str">
        <f>HYPERLINK("https://elefant.by/catalogue/513997614","Посмотреть на сайте ...")</f>
        <v>Посмотреть на сайте ...</v>
      </c>
    </row>
    <row r="544" spans="1:8" s="16" customFormat="1" x14ac:dyDescent="0.25">
      <c r="A544" s="17">
        <v>534</v>
      </c>
      <c r="B544" s="17" t="s">
        <v>227</v>
      </c>
      <c r="C544" s="17" t="s">
        <v>662</v>
      </c>
      <c r="D544" s="18">
        <v>1</v>
      </c>
      <c r="E544" s="18">
        <v>8.57</v>
      </c>
      <c r="F544" s="18">
        <v>10.28</v>
      </c>
      <c r="G544" s="20" t="s">
        <v>663</v>
      </c>
      <c r="H544" s="19" t="str">
        <f>HYPERLINK("https://elefant.by/catalogue/369119671","Посмотреть на сайте ...")</f>
        <v>Посмотреть на сайте ...</v>
      </c>
    </row>
    <row r="545" spans="1:8" s="16" customFormat="1" x14ac:dyDescent="0.25">
      <c r="A545" s="17">
        <v>535</v>
      </c>
      <c r="B545" s="17" t="s">
        <v>132</v>
      </c>
      <c r="C545" s="17" t="s">
        <v>618</v>
      </c>
      <c r="D545" s="18">
        <v>1</v>
      </c>
      <c r="E545" s="18">
        <v>7.09</v>
      </c>
      <c r="F545" s="18">
        <v>8.51</v>
      </c>
      <c r="G545" s="20" t="s">
        <v>619</v>
      </c>
      <c r="H545" s="19" t="str">
        <f>HYPERLINK("https://elefant.by/catalogue/366076829","Посмотреть на сайте ...")</f>
        <v>Посмотреть на сайте ...</v>
      </c>
    </row>
    <row r="546" spans="1:8" s="16" customFormat="1" x14ac:dyDescent="0.25">
      <c r="A546" s="17">
        <v>536</v>
      </c>
      <c r="B546" s="17" t="s">
        <v>132</v>
      </c>
      <c r="C546" s="17" t="s">
        <v>620</v>
      </c>
      <c r="D546" s="18">
        <v>1</v>
      </c>
      <c r="E546" s="18">
        <v>7.09</v>
      </c>
      <c r="F546" s="18">
        <v>8.51</v>
      </c>
      <c r="G546" s="20" t="s">
        <v>621</v>
      </c>
      <c r="H546" s="19" t="str">
        <f>HYPERLINK("https://elefant.by/catalogue/550654937","Посмотреть на сайте ...")</f>
        <v>Посмотреть на сайте ...</v>
      </c>
    </row>
    <row r="547" spans="1:8" s="16" customFormat="1" x14ac:dyDescent="0.25">
      <c r="A547" s="17">
        <v>537</v>
      </c>
      <c r="B547" s="17" t="s">
        <v>227</v>
      </c>
      <c r="C547" s="17" t="s">
        <v>622</v>
      </c>
      <c r="D547" s="18">
        <v>1</v>
      </c>
      <c r="E547" s="18">
        <v>18.170000000000002</v>
      </c>
      <c r="F547" s="18">
        <v>21.8</v>
      </c>
      <c r="G547" s="20" t="s">
        <v>623</v>
      </c>
      <c r="H547" s="19" t="str">
        <f>HYPERLINK("https://elefant.by/catalogue/613004126","Посмотреть на сайте ...")</f>
        <v>Посмотреть на сайте ...</v>
      </c>
    </row>
    <row r="548" spans="1:8" s="16" customFormat="1" x14ac:dyDescent="0.25">
      <c r="A548" s="17">
        <v>538</v>
      </c>
      <c r="B548" s="17" t="s">
        <v>227</v>
      </c>
      <c r="C548" s="17" t="s">
        <v>624</v>
      </c>
      <c r="D548" s="18">
        <v>1</v>
      </c>
      <c r="E548" s="18">
        <v>14.54</v>
      </c>
      <c r="F548" s="18">
        <v>17.45</v>
      </c>
      <c r="G548" s="20" t="s">
        <v>625</v>
      </c>
      <c r="H548" s="19" t="str">
        <f>HYPERLINK("https://elefant.by/catalogue/613004127","Посмотреть на сайте ...")</f>
        <v>Посмотреть на сайте ...</v>
      </c>
    </row>
    <row r="549" spans="1:8" s="16" customFormat="1" x14ac:dyDescent="0.25">
      <c r="A549" s="17">
        <v>539</v>
      </c>
      <c r="B549" s="17" t="s">
        <v>227</v>
      </c>
      <c r="C549" s="17" t="s">
        <v>626</v>
      </c>
      <c r="D549" s="18">
        <v>1</v>
      </c>
      <c r="E549" s="18">
        <v>14.54</v>
      </c>
      <c r="F549" s="18">
        <v>17.45</v>
      </c>
      <c r="G549" s="20" t="s">
        <v>627</v>
      </c>
      <c r="H549" s="19" t="str">
        <f>HYPERLINK("https://elefant.by/catalogue/613004128","Посмотреть на сайте ...")</f>
        <v>Посмотреть на сайте ...</v>
      </c>
    </row>
    <row r="550" spans="1:8" s="16" customFormat="1" x14ac:dyDescent="0.25">
      <c r="A550" s="17">
        <v>540</v>
      </c>
      <c r="B550" s="17" t="s">
        <v>227</v>
      </c>
      <c r="C550" s="17" t="s">
        <v>3154</v>
      </c>
      <c r="D550" s="18">
        <v>1</v>
      </c>
      <c r="E550" s="18">
        <v>8.0500000000000007</v>
      </c>
      <c r="F550" s="18">
        <v>9.66</v>
      </c>
      <c r="G550" s="20" t="s">
        <v>4280</v>
      </c>
      <c r="H550" s="19" t="str">
        <f>HYPERLINK("https://elefant.by/catalogue/446929705","Посмотреть на сайте ...")</f>
        <v>Посмотреть на сайте ...</v>
      </c>
    </row>
    <row r="551" spans="1:8" s="16" customFormat="1" x14ac:dyDescent="0.25">
      <c r="A551" s="17">
        <v>541</v>
      </c>
      <c r="B551" s="17" t="s">
        <v>227</v>
      </c>
      <c r="C551" s="17" t="s">
        <v>628</v>
      </c>
      <c r="D551" s="18">
        <v>1</v>
      </c>
      <c r="E551" s="18">
        <v>8.0500000000000007</v>
      </c>
      <c r="F551" s="18">
        <v>9.66</v>
      </c>
      <c r="G551" s="20" t="s">
        <v>629</v>
      </c>
      <c r="H551" s="19" t="str">
        <f>HYPERLINK("https://elefant.by/catalogue/381475602","Посмотреть на сайте ...")</f>
        <v>Посмотреть на сайте ...</v>
      </c>
    </row>
    <row r="552" spans="1:8" s="16" customFormat="1" x14ac:dyDescent="0.25">
      <c r="A552" s="17">
        <v>542</v>
      </c>
      <c r="B552" s="17" t="s">
        <v>227</v>
      </c>
      <c r="C552" s="17" t="s">
        <v>630</v>
      </c>
      <c r="D552" s="18">
        <v>1</v>
      </c>
      <c r="E552" s="18">
        <v>8.0500000000000007</v>
      </c>
      <c r="F552" s="18">
        <v>9.66</v>
      </c>
      <c r="G552" s="20" t="s">
        <v>631</v>
      </c>
      <c r="H552" s="19" t="str">
        <f>HYPERLINK("https://elefant.by/catalogue/413712984","Посмотреть на сайте ...")</f>
        <v>Посмотреть на сайте ...</v>
      </c>
    </row>
    <row r="553" spans="1:8" s="16" customFormat="1" x14ac:dyDescent="0.25">
      <c r="A553" s="17">
        <v>543</v>
      </c>
      <c r="B553" s="17" t="s">
        <v>227</v>
      </c>
      <c r="C553" s="17" t="s">
        <v>632</v>
      </c>
      <c r="D553" s="18">
        <v>1</v>
      </c>
      <c r="E553" s="18">
        <v>8.0500000000000007</v>
      </c>
      <c r="F553" s="18">
        <v>9.66</v>
      </c>
      <c r="G553" s="20" t="s">
        <v>633</v>
      </c>
      <c r="H553" s="19" t="str">
        <f>HYPERLINK("https://elefant.by/catalogue/418909103","Посмотреть на сайте ...")</f>
        <v>Посмотреть на сайте ...</v>
      </c>
    </row>
    <row r="554" spans="1:8" s="16" customFormat="1" x14ac:dyDescent="0.25">
      <c r="A554" s="17">
        <v>544</v>
      </c>
      <c r="B554" s="17" t="s">
        <v>227</v>
      </c>
      <c r="C554" s="17" t="s">
        <v>634</v>
      </c>
      <c r="D554" s="18">
        <v>1</v>
      </c>
      <c r="E554" s="18">
        <v>8.27</v>
      </c>
      <c r="F554" s="18">
        <v>9.92</v>
      </c>
      <c r="G554" s="20" t="s">
        <v>635</v>
      </c>
      <c r="H554" s="19" t="str">
        <f>HYPERLINK("https://elefant.by/catalogue/413712986","Посмотреть на сайте ...")</f>
        <v>Посмотреть на сайте ...</v>
      </c>
    </row>
    <row r="555" spans="1:8" s="16" customFormat="1" x14ac:dyDescent="0.25">
      <c r="A555" s="17">
        <v>545</v>
      </c>
      <c r="B555" s="17" t="s">
        <v>227</v>
      </c>
      <c r="C555" s="17" t="s">
        <v>636</v>
      </c>
      <c r="D555" s="18">
        <v>1</v>
      </c>
      <c r="E555" s="18">
        <v>22.5</v>
      </c>
      <c r="F555" s="18">
        <v>27</v>
      </c>
      <c r="G555" s="20" t="s">
        <v>637</v>
      </c>
      <c r="H555" s="19" t="str">
        <f>HYPERLINK("https://elefant.by/catalogue/618383755","Посмотреть на сайте ...")</f>
        <v>Посмотреть на сайте ...</v>
      </c>
    </row>
    <row r="556" spans="1:8" s="16" customFormat="1" x14ac:dyDescent="0.25">
      <c r="A556" s="17">
        <v>546</v>
      </c>
      <c r="B556" s="17" t="s">
        <v>227</v>
      </c>
      <c r="C556" s="17" t="s">
        <v>638</v>
      </c>
      <c r="D556" s="18">
        <v>1</v>
      </c>
      <c r="E556" s="18">
        <v>22.5</v>
      </c>
      <c r="F556" s="18">
        <v>27</v>
      </c>
      <c r="G556" s="20" t="s">
        <v>639</v>
      </c>
      <c r="H556" s="19" t="str">
        <f>HYPERLINK("https://elefant.by/catalogue/615149293","Посмотреть на сайте ...")</f>
        <v>Посмотреть на сайте ...</v>
      </c>
    </row>
    <row r="557" spans="1:8" s="16" customFormat="1" x14ac:dyDescent="0.25">
      <c r="A557" s="17">
        <v>547</v>
      </c>
      <c r="B557" s="17" t="s">
        <v>227</v>
      </c>
      <c r="C557" s="17" t="s">
        <v>640</v>
      </c>
      <c r="D557" s="18">
        <v>1</v>
      </c>
      <c r="E557" s="18">
        <v>22.5</v>
      </c>
      <c r="F557" s="18">
        <v>27</v>
      </c>
      <c r="G557" s="20" t="s">
        <v>641</v>
      </c>
      <c r="H557" s="19" t="str">
        <f>HYPERLINK("https://elefant.by/catalogue/618383756","Посмотреть на сайте ...")</f>
        <v>Посмотреть на сайте ...</v>
      </c>
    </row>
    <row r="558" spans="1:8" s="16" customFormat="1" x14ac:dyDescent="0.25">
      <c r="A558" s="17">
        <v>548</v>
      </c>
      <c r="B558" s="17" t="s">
        <v>227</v>
      </c>
      <c r="C558" s="17" t="s">
        <v>642</v>
      </c>
      <c r="D558" s="18">
        <v>1</v>
      </c>
      <c r="E558" s="18">
        <v>18</v>
      </c>
      <c r="F558" s="18">
        <v>21.6</v>
      </c>
      <c r="G558" s="20" t="s">
        <v>643</v>
      </c>
      <c r="H558" s="19" t="str">
        <f>HYPERLINK("https://elefant.by/catalogue/615166602","Посмотреть на сайте ...")</f>
        <v>Посмотреть на сайте ...</v>
      </c>
    </row>
    <row r="559" spans="1:8" s="16" customFormat="1" x14ac:dyDescent="0.25">
      <c r="A559" s="17">
        <v>549</v>
      </c>
      <c r="B559" s="17" t="s">
        <v>227</v>
      </c>
      <c r="C559" s="17" t="s">
        <v>644</v>
      </c>
      <c r="D559" s="18">
        <v>1</v>
      </c>
      <c r="E559" s="18">
        <v>22.5</v>
      </c>
      <c r="F559" s="18">
        <v>27</v>
      </c>
      <c r="G559" s="20" t="s">
        <v>645</v>
      </c>
      <c r="H559" s="19" t="str">
        <f>HYPERLINK("https://elefant.by/catalogue/615166603","Посмотреть на сайте ...")</f>
        <v>Посмотреть на сайте ...</v>
      </c>
    </row>
    <row r="560" spans="1:8" s="16" customFormat="1" x14ac:dyDescent="0.25">
      <c r="A560" s="17">
        <v>550</v>
      </c>
      <c r="B560" s="17" t="s">
        <v>227</v>
      </c>
      <c r="C560" s="17" t="s">
        <v>646</v>
      </c>
      <c r="D560" s="18">
        <v>1</v>
      </c>
      <c r="E560" s="18">
        <v>18</v>
      </c>
      <c r="F560" s="18">
        <v>21.6</v>
      </c>
      <c r="G560" s="20" t="s">
        <v>647</v>
      </c>
      <c r="H560" s="19" t="str">
        <f>HYPERLINK("https://elefant.by/catalogue/618383757","Посмотреть на сайте ...")</f>
        <v>Посмотреть на сайте ...</v>
      </c>
    </row>
    <row r="561" spans="1:8" s="16" customFormat="1" x14ac:dyDescent="0.25">
      <c r="A561" s="17">
        <v>551</v>
      </c>
      <c r="B561" s="17" t="s">
        <v>227</v>
      </c>
      <c r="C561" s="17" t="s">
        <v>648</v>
      </c>
      <c r="D561" s="18">
        <v>1</v>
      </c>
      <c r="E561" s="18">
        <v>8.1</v>
      </c>
      <c r="F561" s="18">
        <v>9.7200000000000006</v>
      </c>
      <c r="G561" s="20" t="s">
        <v>649</v>
      </c>
      <c r="H561" s="19" t="str">
        <f>HYPERLINK("https://elefant.by/catalogue/369119663","Посмотреть на сайте ...")</f>
        <v>Посмотреть на сайте ...</v>
      </c>
    </row>
    <row r="562" spans="1:8" s="16" customFormat="1" x14ac:dyDescent="0.25">
      <c r="A562" s="17">
        <v>552</v>
      </c>
      <c r="B562" s="17" t="s">
        <v>227</v>
      </c>
      <c r="C562" s="17" t="s">
        <v>3155</v>
      </c>
      <c r="D562" s="18">
        <v>1</v>
      </c>
      <c r="E562" s="18">
        <v>8.1</v>
      </c>
      <c r="F562" s="18">
        <v>9.7200000000000006</v>
      </c>
      <c r="G562" s="20" t="s">
        <v>4281</v>
      </c>
      <c r="H562" s="19" t="str">
        <f>HYPERLINK("https://elefant.by/catalogue/381475603","Посмотреть на сайте ...")</f>
        <v>Посмотреть на сайте ...</v>
      </c>
    </row>
    <row r="563" spans="1:8" s="16" customFormat="1" x14ac:dyDescent="0.25">
      <c r="A563" s="17">
        <v>553</v>
      </c>
      <c r="B563" s="17" t="s">
        <v>227</v>
      </c>
      <c r="C563" s="17" t="s">
        <v>650</v>
      </c>
      <c r="D563" s="18">
        <v>1</v>
      </c>
      <c r="E563" s="18">
        <v>8.64</v>
      </c>
      <c r="F563" s="18">
        <v>10.37</v>
      </c>
      <c r="G563" s="20" t="s">
        <v>651</v>
      </c>
      <c r="H563" s="19" t="str">
        <f>HYPERLINK("https://elefant.by/catalogue/524412611","Посмотреть на сайте ...")</f>
        <v>Посмотреть на сайте ...</v>
      </c>
    </row>
    <row r="564" spans="1:8" s="16" customFormat="1" x14ac:dyDescent="0.25">
      <c r="A564" s="17">
        <v>554</v>
      </c>
      <c r="B564" s="17" t="s">
        <v>227</v>
      </c>
      <c r="C564" s="17" t="s">
        <v>652</v>
      </c>
      <c r="D564" s="18">
        <v>1</v>
      </c>
      <c r="E564" s="18">
        <v>8.5399999999999991</v>
      </c>
      <c r="F564" s="18">
        <v>10.25</v>
      </c>
      <c r="G564" s="20" t="s">
        <v>653</v>
      </c>
      <c r="H564" s="19" t="str">
        <f>HYPERLINK("https://elefant.by/catalogue/569961401","Посмотреть на сайте ...")</f>
        <v>Посмотреть на сайте ...</v>
      </c>
    </row>
    <row r="565" spans="1:8" s="16" customFormat="1" x14ac:dyDescent="0.25">
      <c r="A565" s="17">
        <v>555</v>
      </c>
      <c r="B565" s="17" t="s">
        <v>227</v>
      </c>
      <c r="C565" s="17" t="s">
        <v>3156</v>
      </c>
      <c r="D565" s="18">
        <v>1</v>
      </c>
      <c r="E565" s="18">
        <v>9</v>
      </c>
      <c r="F565" s="18">
        <v>10.8</v>
      </c>
      <c r="G565" s="20" t="s">
        <v>4282</v>
      </c>
      <c r="H565" s="19" t="str">
        <f>HYPERLINK("https://elefant.by/catalogue/381475604","Посмотреть на сайте ...")</f>
        <v>Посмотреть на сайте ...</v>
      </c>
    </row>
    <row r="566" spans="1:8" s="16" customFormat="1" x14ac:dyDescent="0.25">
      <c r="A566" s="17">
        <v>556</v>
      </c>
      <c r="B566" s="17" t="s">
        <v>227</v>
      </c>
      <c r="C566" s="17" t="s">
        <v>654</v>
      </c>
      <c r="D566" s="18">
        <v>1</v>
      </c>
      <c r="E566" s="18">
        <v>10.15</v>
      </c>
      <c r="F566" s="18">
        <v>12.18</v>
      </c>
      <c r="G566" s="20" t="s">
        <v>655</v>
      </c>
      <c r="H566" s="19" t="str">
        <f>HYPERLINK("https://elefant.by/catalogue/369119667","Посмотреть на сайте ...")</f>
        <v>Посмотреть на сайте ...</v>
      </c>
    </row>
    <row r="567" spans="1:8" s="16" customFormat="1" x14ac:dyDescent="0.25">
      <c r="A567" s="17">
        <v>557</v>
      </c>
      <c r="B567" s="17" t="s">
        <v>227</v>
      </c>
      <c r="C567" s="17" t="s">
        <v>3157</v>
      </c>
      <c r="D567" s="18">
        <v>1</v>
      </c>
      <c r="E567" s="18">
        <v>9.81</v>
      </c>
      <c r="F567" s="18">
        <v>11.77</v>
      </c>
      <c r="G567" s="20" t="s">
        <v>4283</v>
      </c>
      <c r="H567" s="19" t="str">
        <f>HYPERLINK("https://elefant.by/catalogue/547667197","Посмотреть на сайте ...")</f>
        <v>Посмотреть на сайте ...</v>
      </c>
    </row>
    <row r="568" spans="1:8" s="16" customFormat="1" x14ac:dyDescent="0.25">
      <c r="A568" s="17">
        <v>558</v>
      </c>
      <c r="B568" s="17" t="s">
        <v>227</v>
      </c>
      <c r="C568" s="17" t="s">
        <v>656</v>
      </c>
      <c r="D568" s="18">
        <v>1</v>
      </c>
      <c r="E568" s="18">
        <v>10.15</v>
      </c>
      <c r="F568" s="18">
        <v>12.18</v>
      </c>
      <c r="G568" s="20" t="s">
        <v>657</v>
      </c>
      <c r="H568" s="19" t="str">
        <f>HYPERLINK("https://elefant.by/catalogue/524412613","Посмотреть на сайте ...")</f>
        <v>Посмотреть на сайте ...</v>
      </c>
    </row>
    <row r="569" spans="1:8" s="16" customFormat="1" x14ac:dyDescent="0.25">
      <c r="A569" s="17">
        <v>559</v>
      </c>
      <c r="B569" s="17" t="s">
        <v>227</v>
      </c>
      <c r="C569" s="17" t="s">
        <v>658</v>
      </c>
      <c r="D569" s="18">
        <v>1</v>
      </c>
      <c r="E569" s="18">
        <v>18</v>
      </c>
      <c r="F569" s="18">
        <v>21.6</v>
      </c>
      <c r="G569" s="20" t="s">
        <v>659</v>
      </c>
      <c r="H569" s="19" t="str">
        <f>HYPERLINK("https://elefant.by/catalogue/487399821","Посмотреть на сайте ...")</f>
        <v>Посмотреть на сайте ...</v>
      </c>
    </row>
    <row r="570" spans="1:8" s="16" customFormat="1" x14ac:dyDescent="0.25">
      <c r="A570" s="17">
        <v>560</v>
      </c>
      <c r="B570" s="17" t="s">
        <v>63</v>
      </c>
      <c r="C570" s="17" t="s">
        <v>3158</v>
      </c>
      <c r="D570" s="18">
        <v>10</v>
      </c>
      <c r="E570" s="18">
        <v>0.41</v>
      </c>
      <c r="F570" s="18">
        <v>0.49</v>
      </c>
      <c r="G570" s="20" t="s">
        <v>4284</v>
      </c>
      <c r="H570" s="19" t="str">
        <f>HYPERLINK("https://elefant.by/catalogue/661172536","Посмотреть на сайте ...")</f>
        <v>Посмотреть на сайте ...</v>
      </c>
    </row>
    <row r="571" spans="1:8" s="16" customFormat="1" x14ac:dyDescent="0.25">
      <c r="A571" s="17">
        <v>561</v>
      </c>
      <c r="B571" s="17" t="s">
        <v>227</v>
      </c>
      <c r="C571" s="17" t="s">
        <v>665</v>
      </c>
      <c r="D571" s="18">
        <v>10</v>
      </c>
      <c r="E571" s="18">
        <v>12.06</v>
      </c>
      <c r="F571" s="18">
        <v>14.47</v>
      </c>
      <c r="G571" s="20" t="s">
        <v>666</v>
      </c>
      <c r="H571" s="19" t="str">
        <f>HYPERLINK("https://elefant.by/catalogue/369043609","Посмотреть на сайте ...")</f>
        <v>Посмотреть на сайте ...</v>
      </c>
    </row>
    <row r="572" spans="1:8" s="16" customFormat="1" x14ac:dyDescent="0.25">
      <c r="A572" s="17">
        <v>562</v>
      </c>
      <c r="B572" s="17" t="s">
        <v>158</v>
      </c>
      <c r="C572" s="17" t="s">
        <v>667</v>
      </c>
      <c r="D572" s="18">
        <v>12</v>
      </c>
      <c r="E572" s="18">
        <v>0.41</v>
      </c>
      <c r="F572" s="18">
        <v>0.49</v>
      </c>
      <c r="G572" s="20" t="s">
        <v>668</v>
      </c>
      <c r="H572" s="19" t="str">
        <f>HYPERLINK("https://elefant.by/catalogue/225108235","Посмотреть на сайте ...")</f>
        <v>Посмотреть на сайте ...</v>
      </c>
    </row>
    <row r="573" spans="1:8" s="16" customFormat="1" x14ac:dyDescent="0.25">
      <c r="A573" s="17">
        <v>563</v>
      </c>
      <c r="B573" s="17" t="s">
        <v>3088</v>
      </c>
      <c r="C573" s="17" t="s">
        <v>3165</v>
      </c>
      <c r="D573" s="18">
        <v>120</v>
      </c>
      <c r="E573" s="18">
        <v>1.17</v>
      </c>
      <c r="F573" s="18">
        <v>1.4</v>
      </c>
      <c r="G573" s="20" t="s">
        <v>4290</v>
      </c>
      <c r="H573" s="19" t="str">
        <f>HYPERLINK("https://elefant.by/catalogue/330165435","Посмотреть на сайте ...")</f>
        <v>Посмотреть на сайте ...</v>
      </c>
    </row>
    <row r="574" spans="1:8" s="16" customFormat="1" x14ac:dyDescent="0.25">
      <c r="A574" s="17">
        <v>564</v>
      </c>
      <c r="B574" s="17" t="s">
        <v>14</v>
      </c>
      <c r="C574" s="17" t="s">
        <v>3159</v>
      </c>
      <c r="D574" s="18">
        <v>50</v>
      </c>
      <c r="E574" s="18">
        <v>1.45</v>
      </c>
      <c r="F574" s="18">
        <v>1.74</v>
      </c>
      <c r="G574" s="20" t="s">
        <v>669</v>
      </c>
      <c r="H574" s="19" t="str">
        <f>HYPERLINK("https://elefant.by/catalogue/409396021","Посмотреть на сайте ...")</f>
        <v>Посмотреть на сайте ...</v>
      </c>
    </row>
    <row r="575" spans="1:8" s="16" customFormat="1" x14ac:dyDescent="0.25">
      <c r="A575" s="17">
        <v>565</v>
      </c>
      <c r="B575" s="17" t="s">
        <v>14</v>
      </c>
      <c r="C575" s="17" t="s">
        <v>670</v>
      </c>
      <c r="D575" s="18">
        <v>100</v>
      </c>
      <c r="E575" s="18">
        <v>0.6</v>
      </c>
      <c r="F575" s="18">
        <v>0.72</v>
      </c>
      <c r="G575" s="20" t="s">
        <v>671</v>
      </c>
      <c r="H575" s="19" t="str">
        <f>HYPERLINK("https://elefant.by/catalogue/409396023","Посмотреть на сайте ...")</f>
        <v>Посмотреть на сайте ...</v>
      </c>
    </row>
    <row r="576" spans="1:8" s="16" customFormat="1" x14ac:dyDescent="0.25">
      <c r="A576" s="17">
        <v>566</v>
      </c>
      <c r="B576" s="17" t="s">
        <v>14</v>
      </c>
      <c r="C576" s="17" t="s">
        <v>672</v>
      </c>
      <c r="D576" s="18">
        <v>100</v>
      </c>
      <c r="E576" s="18">
        <v>0.72</v>
      </c>
      <c r="F576" s="18">
        <v>0.86</v>
      </c>
      <c r="G576" s="20" t="s">
        <v>673</v>
      </c>
      <c r="H576" s="19" t="str">
        <f>HYPERLINK("https://elefant.by/catalogue/409396024","Посмотреть на сайте ...")</f>
        <v>Посмотреть на сайте ...</v>
      </c>
    </row>
    <row r="577" spans="1:8" s="16" customFormat="1" x14ac:dyDescent="0.25">
      <c r="A577" s="17">
        <v>567</v>
      </c>
      <c r="B577" s="17" t="s">
        <v>14</v>
      </c>
      <c r="C577" s="17" t="s">
        <v>674</v>
      </c>
      <c r="D577" s="18">
        <v>100</v>
      </c>
      <c r="E577" s="18">
        <v>0.86</v>
      </c>
      <c r="F577" s="18">
        <v>1.03</v>
      </c>
      <c r="G577" s="20" t="s">
        <v>675</v>
      </c>
      <c r="H577" s="19" t="str">
        <f>HYPERLINK("https://elefant.by/catalogue/409396025","Посмотреть на сайте ...")</f>
        <v>Посмотреть на сайте ...</v>
      </c>
    </row>
    <row r="578" spans="1:8" s="16" customFormat="1" x14ac:dyDescent="0.25">
      <c r="A578" s="17">
        <v>568</v>
      </c>
      <c r="B578" s="17" t="s">
        <v>2890</v>
      </c>
      <c r="C578" s="17" t="s">
        <v>3160</v>
      </c>
      <c r="D578" s="18">
        <v>100</v>
      </c>
      <c r="E578" s="18">
        <v>0.49</v>
      </c>
      <c r="F578" s="18">
        <v>0.59</v>
      </c>
      <c r="G578" s="20" t="s">
        <v>4285</v>
      </c>
      <c r="H578" s="19" t="str">
        <f>HYPERLINK("https://elefant.by/catalogue/652571247","Посмотреть на сайте ...")</f>
        <v>Посмотреть на сайте ...</v>
      </c>
    </row>
    <row r="579" spans="1:8" s="16" customFormat="1" x14ac:dyDescent="0.25">
      <c r="A579" s="17">
        <v>569</v>
      </c>
      <c r="B579" s="17" t="s">
        <v>2890</v>
      </c>
      <c r="C579" s="17" t="s">
        <v>3161</v>
      </c>
      <c r="D579" s="18">
        <v>70</v>
      </c>
      <c r="E579" s="18">
        <v>0.56000000000000005</v>
      </c>
      <c r="F579" s="18">
        <v>0.67</v>
      </c>
      <c r="G579" s="20" t="s">
        <v>4286</v>
      </c>
      <c r="H579" s="19" t="str">
        <f>HYPERLINK("https://elefant.by/catalogue/652571248","Посмотреть на сайте ...")</f>
        <v>Посмотреть на сайте ...</v>
      </c>
    </row>
    <row r="580" spans="1:8" s="16" customFormat="1" x14ac:dyDescent="0.25">
      <c r="A580" s="17">
        <v>570</v>
      </c>
      <c r="B580" s="17" t="s">
        <v>2890</v>
      </c>
      <c r="C580" s="17" t="s">
        <v>3162</v>
      </c>
      <c r="D580" s="18">
        <v>55</v>
      </c>
      <c r="E580" s="18">
        <v>0.69</v>
      </c>
      <c r="F580" s="18">
        <v>0.83</v>
      </c>
      <c r="G580" s="20" t="s">
        <v>4287</v>
      </c>
      <c r="H580" s="19" t="str">
        <f>HYPERLINK("https://elefant.by/catalogue/652571249","Посмотреть на сайте ...")</f>
        <v>Посмотреть на сайте ...</v>
      </c>
    </row>
    <row r="581" spans="1:8" s="16" customFormat="1" x14ac:dyDescent="0.25">
      <c r="A581" s="17">
        <v>571</v>
      </c>
      <c r="B581" s="17" t="s">
        <v>2890</v>
      </c>
      <c r="C581" s="17" t="s">
        <v>3163</v>
      </c>
      <c r="D581" s="18">
        <v>60</v>
      </c>
      <c r="E581" s="18">
        <v>0.83</v>
      </c>
      <c r="F581" s="18">
        <v>1</v>
      </c>
      <c r="G581" s="20" t="s">
        <v>4288</v>
      </c>
      <c r="H581" s="19" t="str">
        <f>HYPERLINK("https://elefant.by/catalogue/652571250","Посмотреть на сайте ...")</f>
        <v>Посмотреть на сайте ...</v>
      </c>
    </row>
    <row r="582" spans="1:8" s="16" customFormat="1" x14ac:dyDescent="0.25">
      <c r="A582" s="17">
        <v>572</v>
      </c>
      <c r="B582" s="17" t="s">
        <v>2890</v>
      </c>
      <c r="C582" s="17" t="s">
        <v>3164</v>
      </c>
      <c r="D582" s="18">
        <v>40</v>
      </c>
      <c r="E582" s="18">
        <v>1.2</v>
      </c>
      <c r="F582" s="18">
        <v>1.44</v>
      </c>
      <c r="G582" s="20" t="s">
        <v>4289</v>
      </c>
      <c r="H582" s="19" t="str">
        <f>HYPERLINK("https://elefant.by/catalogue/652571258","Посмотреть на сайте ...")</f>
        <v>Посмотреть на сайте ...</v>
      </c>
    </row>
    <row r="583" spans="1:8" s="16" customFormat="1" x14ac:dyDescent="0.25">
      <c r="A583" s="17">
        <v>573</v>
      </c>
      <c r="B583" s="17" t="s">
        <v>14</v>
      </c>
      <c r="C583" s="17" t="s">
        <v>676</v>
      </c>
      <c r="D583" s="18">
        <v>100</v>
      </c>
      <c r="E583" s="18">
        <v>0.54</v>
      </c>
      <c r="F583" s="18">
        <v>0.65</v>
      </c>
      <c r="G583" s="20" t="s">
        <v>677</v>
      </c>
      <c r="H583" s="19" t="str">
        <f>HYPERLINK("https://elefant.by/catalogue/409396026","Посмотреть на сайте ...")</f>
        <v>Посмотреть на сайте ...</v>
      </c>
    </row>
    <row r="584" spans="1:8" s="16" customFormat="1" x14ac:dyDescent="0.25">
      <c r="A584" s="17">
        <v>574</v>
      </c>
      <c r="B584" s="17" t="s">
        <v>14</v>
      </c>
      <c r="C584" s="17" t="s">
        <v>678</v>
      </c>
      <c r="D584" s="18">
        <v>100</v>
      </c>
      <c r="E584" s="18">
        <v>0.49</v>
      </c>
      <c r="F584" s="18">
        <v>0.59</v>
      </c>
      <c r="G584" s="20" t="s">
        <v>679</v>
      </c>
      <c r="H584" s="19" t="str">
        <f>HYPERLINK("https://elefant.by/catalogue/409396028","Посмотреть на сайте ...")</f>
        <v>Посмотреть на сайте ...</v>
      </c>
    </row>
    <row r="585" spans="1:8" s="16" customFormat="1" x14ac:dyDescent="0.25">
      <c r="A585" s="17">
        <v>575</v>
      </c>
      <c r="B585" s="17" t="s">
        <v>63</v>
      </c>
      <c r="C585" s="17" t="s">
        <v>680</v>
      </c>
      <c r="D585" s="18">
        <v>24</v>
      </c>
      <c r="E585" s="18">
        <v>0.34</v>
      </c>
      <c r="F585" s="18">
        <v>0.41</v>
      </c>
      <c r="G585" s="20" t="s">
        <v>681</v>
      </c>
      <c r="H585" s="19" t="str">
        <f>HYPERLINK("https://elefant.by/catalogue/582512265","Посмотреть на сайте ...")</f>
        <v>Посмотреть на сайте ...</v>
      </c>
    </row>
    <row r="586" spans="1:8" s="16" customFormat="1" x14ac:dyDescent="0.25">
      <c r="A586" s="17">
        <v>576</v>
      </c>
      <c r="B586" s="17" t="s">
        <v>63</v>
      </c>
      <c r="C586" s="17" t="s">
        <v>3166</v>
      </c>
      <c r="D586" s="18">
        <v>24</v>
      </c>
      <c r="E586" s="18">
        <v>0.39</v>
      </c>
      <c r="F586" s="18">
        <v>0.47</v>
      </c>
      <c r="G586" s="20" t="s">
        <v>4291</v>
      </c>
      <c r="H586" s="19" t="str">
        <f>HYPERLINK("https://elefant.by/catalogue/582512266","Посмотреть на сайте ...")</f>
        <v>Посмотреть на сайте ...</v>
      </c>
    </row>
    <row r="587" spans="1:8" s="16" customFormat="1" x14ac:dyDescent="0.25">
      <c r="A587" s="17">
        <v>577</v>
      </c>
      <c r="B587" s="17" t="s">
        <v>63</v>
      </c>
      <c r="C587" s="17" t="s">
        <v>682</v>
      </c>
      <c r="D587" s="18">
        <v>12</v>
      </c>
      <c r="E587" s="18">
        <v>0.6</v>
      </c>
      <c r="F587" s="18">
        <v>0.72</v>
      </c>
      <c r="G587" s="20" t="s">
        <v>683</v>
      </c>
      <c r="H587" s="19" t="str">
        <f>HYPERLINK("https://elefant.by/catalogue/582512267","Посмотреть на сайте ...")</f>
        <v>Посмотреть на сайте ...</v>
      </c>
    </row>
    <row r="588" spans="1:8" s="16" customFormat="1" x14ac:dyDescent="0.25">
      <c r="A588" s="17">
        <v>578</v>
      </c>
      <c r="B588" s="17" t="s">
        <v>17</v>
      </c>
      <c r="C588" s="17" t="s">
        <v>684</v>
      </c>
      <c r="D588" s="18">
        <v>24</v>
      </c>
      <c r="E588" s="18">
        <v>0.72</v>
      </c>
      <c r="F588" s="18">
        <v>0.86</v>
      </c>
      <c r="G588" s="20" t="s">
        <v>685</v>
      </c>
      <c r="H588" s="19" t="str">
        <f>HYPERLINK("https://elefant.by/catalogue/618937612","Посмотреть на сайте ...")</f>
        <v>Посмотреть на сайте ...</v>
      </c>
    </row>
    <row r="589" spans="1:8" s="16" customFormat="1" x14ac:dyDescent="0.25">
      <c r="A589" s="17">
        <v>579</v>
      </c>
      <c r="B589" s="17" t="s">
        <v>17</v>
      </c>
      <c r="C589" s="17" t="s">
        <v>686</v>
      </c>
      <c r="D589" s="18">
        <v>24</v>
      </c>
      <c r="E589" s="18">
        <v>1.26</v>
      </c>
      <c r="F589" s="18">
        <v>1.51</v>
      </c>
      <c r="G589" s="20" t="s">
        <v>687</v>
      </c>
      <c r="H589" s="19" t="str">
        <f>HYPERLINK("https://elefant.by/catalogue/618937614","Посмотреть на сайте ...")</f>
        <v>Посмотреть на сайте ...</v>
      </c>
    </row>
    <row r="590" spans="1:8" s="16" customFormat="1" x14ac:dyDescent="0.25">
      <c r="A590" s="17">
        <v>580</v>
      </c>
      <c r="B590" s="17" t="s">
        <v>9</v>
      </c>
      <c r="C590" s="17" t="s">
        <v>688</v>
      </c>
      <c r="D590" s="18">
        <v>30</v>
      </c>
      <c r="E590" s="18">
        <v>0.87</v>
      </c>
      <c r="F590" s="18">
        <v>1.04</v>
      </c>
      <c r="G590" s="20" t="s">
        <v>689</v>
      </c>
      <c r="H590" s="19" t="str">
        <f>HYPERLINK("https://elefant.by/catalogue/147587003","Посмотреть на сайте ...")</f>
        <v>Посмотреть на сайте ...</v>
      </c>
    </row>
    <row r="591" spans="1:8" s="16" customFormat="1" x14ac:dyDescent="0.25">
      <c r="A591" s="17">
        <v>581</v>
      </c>
      <c r="B591" s="17" t="s">
        <v>9</v>
      </c>
      <c r="C591" s="17" t="s">
        <v>690</v>
      </c>
      <c r="D591" s="18">
        <v>20</v>
      </c>
      <c r="E591" s="18">
        <v>1.25</v>
      </c>
      <c r="F591" s="18">
        <v>1.5</v>
      </c>
      <c r="G591" s="20" t="s">
        <v>691</v>
      </c>
      <c r="H591" s="19" t="str">
        <f>HYPERLINK("https://elefant.by/catalogue/147831384","Посмотреть на сайте ...")</f>
        <v>Посмотреть на сайте ...</v>
      </c>
    </row>
    <row r="592" spans="1:8" s="16" customFormat="1" x14ac:dyDescent="0.25">
      <c r="A592" s="17">
        <v>582</v>
      </c>
      <c r="B592" s="17" t="s">
        <v>9</v>
      </c>
      <c r="C592" s="17" t="s">
        <v>3167</v>
      </c>
      <c r="D592" s="18">
        <v>20</v>
      </c>
      <c r="E592" s="18">
        <v>1.76</v>
      </c>
      <c r="F592" s="18">
        <v>2.11</v>
      </c>
      <c r="G592" s="20" t="s">
        <v>4292</v>
      </c>
      <c r="H592" s="19" t="str">
        <f>HYPERLINK("https://elefant.by/catalogue/149990940","Посмотреть на сайте ...")</f>
        <v>Посмотреть на сайте ...</v>
      </c>
    </row>
    <row r="593" spans="1:8" s="16" customFormat="1" x14ac:dyDescent="0.25">
      <c r="A593" s="17">
        <v>583</v>
      </c>
      <c r="B593" s="17" t="s">
        <v>9</v>
      </c>
      <c r="C593" s="17" t="s">
        <v>692</v>
      </c>
      <c r="D593" s="18">
        <v>12</v>
      </c>
      <c r="E593" s="18">
        <v>2.8</v>
      </c>
      <c r="F593" s="18">
        <v>3.36</v>
      </c>
      <c r="G593" s="20" t="s">
        <v>693</v>
      </c>
      <c r="H593" s="19" t="str">
        <f>HYPERLINK("https://elefant.by/catalogue/149990941","Посмотреть на сайте ...")</f>
        <v>Посмотреть на сайте ...</v>
      </c>
    </row>
    <row r="594" spans="1:8" s="16" customFormat="1" x14ac:dyDescent="0.25">
      <c r="A594" s="17">
        <v>584</v>
      </c>
      <c r="B594" s="17" t="s">
        <v>9</v>
      </c>
      <c r="C594" s="17" t="s">
        <v>3168</v>
      </c>
      <c r="D594" s="18">
        <v>20</v>
      </c>
      <c r="E594" s="18">
        <v>1.27</v>
      </c>
      <c r="F594" s="18">
        <v>1.52</v>
      </c>
      <c r="G594" s="20" t="s">
        <v>4293</v>
      </c>
      <c r="H594" s="19" t="str">
        <f>HYPERLINK("https://elefant.by/catalogue/172087723","Посмотреть на сайте ...")</f>
        <v>Посмотреть на сайте ...</v>
      </c>
    </row>
    <row r="595" spans="1:8" s="16" customFormat="1" x14ac:dyDescent="0.25">
      <c r="A595" s="17">
        <v>585</v>
      </c>
      <c r="B595" s="17" t="s">
        <v>12</v>
      </c>
      <c r="C595" s="17" t="s">
        <v>712</v>
      </c>
      <c r="D595" s="18">
        <v>12</v>
      </c>
      <c r="E595" s="18">
        <v>0.62</v>
      </c>
      <c r="F595" s="18">
        <v>0.74</v>
      </c>
      <c r="G595" s="20" t="s">
        <v>713</v>
      </c>
      <c r="H595" s="19" t="str">
        <f>HYPERLINK("https://elefant.by/catalogue/635740174","Посмотреть на сайте ...")</f>
        <v>Посмотреть на сайте ...</v>
      </c>
    </row>
    <row r="596" spans="1:8" s="16" customFormat="1" x14ac:dyDescent="0.25">
      <c r="A596" s="17">
        <v>586</v>
      </c>
      <c r="B596" s="17" t="s">
        <v>12</v>
      </c>
      <c r="C596" s="17" t="s">
        <v>714</v>
      </c>
      <c r="D596" s="18">
        <v>12</v>
      </c>
      <c r="E596" s="18">
        <v>1.43</v>
      </c>
      <c r="F596" s="18">
        <v>1.72</v>
      </c>
      <c r="G596" s="20" t="s">
        <v>715</v>
      </c>
      <c r="H596" s="19" t="str">
        <f>HYPERLINK("https://elefant.by/catalogue/493676530","Посмотреть на сайте ...")</f>
        <v>Посмотреть на сайте ...</v>
      </c>
    </row>
    <row r="597" spans="1:8" s="16" customFormat="1" x14ac:dyDescent="0.25">
      <c r="A597" s="17">
        <v>587</v>
      </c>
      <c r="B597" s="17" t="s">
        <v>12</v>
      </c>
      <c r="C597" s="17" t="s">
        <v>716</v>
      </c>
      <c r="D597" s="18">
        <v>12</v>
      </c>
      <c r="E597" s="18">
        <v>0.83</v>
      </c>
      <c r="F597" s="18">
        <v>1</v>
      </c>
      <c r="G597" s="20" t="s">
        <v>717</v>
      </c>
      <c r="H597" s="19" t="str">
        <f>HYPERLINK("https://elefant.by/catalogue/451365110","Посмотреть на сайте ...")</f>
        <v>Посмотреть на сайте ...</v>
      </c>
    </row>
    <row r="598" spans="1:8" s="16" customFormat="1" x14ac:dyDescent="0.25">
      <c r="A598" s="17">
        <v>588</v>
      </c>
      <c r="B598" s="17" t="s">
        <v>12</v>
      </c>
      <c r="C598" s="17" t="s">
        <v>718</v>
      </c>
      <c r="D598" s="18">
        <v>12</v>
      </c>
      <c r="E598" s="18">
        <v>0.83</v>
      </c>
      <c r="F598" s="18">
        <v>1</v>
      </c>
      <c r="G598" s="20" t="s">
        <v>719</v>
      </c>
      <c r="H598" s="19" t="str">
        <f>HYPERLINK("https://elefant.by/catalogue/451365106","Посмотреть на сайте ...")</f>
        <v>Посмотреть на сайте ...</v>
      </c>
    </row>
    <row r="599" spans="1:8" s="16" customFormat="1" x14ac:dyDescent="0.25">
      <c r="A599" s="17">
        <v>589</v>
      </c>
      <c r="B599" s="17" t="s">
        <v>12</v>
      </c>
      <c r="C599" s="17" t="s">
        <v>720</v>
      </c>
      <c r="D599" s="18">
        <v>12</v>
      </c>
      <c r="E599" s="18">
        <v>0.83</v>
      </c>
      <c r="F599" s="18">
        <v>1</v>
      </c>
      <c r="G599" s="20" t="s">
        <v>721</v>
      </c>
      <c r="H599" s="19" t="str">
        <f>HYPERLINK("https://elefant.by/catalogue/451365107","Посмотреть на сайте ...")</f>
        <v>Посмотреть на сайте ...</v>
      </c>
    </row>
    <row r="600" spans="1:8" s="16" customFormat="1" x14ac:dyDescent="0.25">
      <c r="A600" s="17">
        <v>590</v>
      </c>
      <c r="B600" s="17" t="s">
        <v>12</v>
      </c>
      <c r="C600" s="17" t="s">
        <v>722</v>
      </c>
      <c r="D600" s="18">
        <v>12</v>
      </c>
      <c r="E600" s="18">
        <v>0.83</v>
      </c>
      <c r="F600" s="18">
        <v>1</v>
      </c>
      <c r="G600" s="20" t="s">
        <v>723</v>
      </c>
      <c r="H600" s="19" t="str">
        <f>HYPERLINK("https://elefant.by/catalogue/451365108","Посмотреть на сайте ...")</f>
        <v>Посмотреть на сайте ...</v>
      </c>
    </row>
    <row r="601" spans="1:8" s="16" customFormat="1" x14ac:dyDescent="0.25">
      <c r="A601" s="17">
        <v>591</v>
      </c>
      <c r="B601" s="17" t="s">
        <v>12</v>
      </c>
      <c r="C601" s="17" t="s">
        <v>724</v>
      </c>
      <c r="D601" s="18">
        <v>12</v>
      </c>
      <c r="E601" s="18">
        <v>0.83</v>
      </c>
      <c r="F601" s="18">
        <v>1</v>
      </c>
      <c r="G601" s="20" t="s">
        <v>725</v>
      </c>
      <c r="H601" s="19" t="str">
        <f>HYPERLINK("https://elefant.by/catalogue/451365109","Посмотреть на сайте ...")</f>
        <v>Посмотреть на сайте ...</v>
      </c>
    </row>
    <row r="602" spans="1:8" s="16" customFormat="1" x14ac:dyDescent="0.25">
      <c r="A602" s="17">
        <v>592</v>
      </c>
      <c r="B602" s="17" t="s">
        <v>12</v>
      </c>
      <c r="C602" s="17" t="s">
        <v>726</v>
      </c>
      <c r="D602" s="18">
        <v>12</v>
      </c>
      <c r="E602" s="18">
        <v>0.6</v>
      </c>
      <c r="F602" s="18">
        <v>0.72</v>
      </c>
      <c r="G602" s="20" t="s">
        <v>727</v>
      </c>
      <c r="H602" s="19" t="str">
        <f>HYPERLINK("https://elefant.by/catalogue/451365105","Посмотреть на сайте ...")</f>
        <v>Посмотреть на сайте ...</v>
      </c>
    </row>
    <row r="603" spans="1:8" s="16" customFormat="1" x14ac:dyDescent="0.25">
      <c r="A603" s="17">
        <v>593</v>
      </c>
      <c r="B603" s="17" t="s">
        <v>12</v>
      </c>
      <c r="C603" s="17" t="s">
        <v>728</v>
      </c>
      <c r="D603" s="18">
        <v>12</v>
      </c>
      <c r="E603" s="18">
        <v>0.6</v>
      </c>
      <c r="F603" s="18">
        <v>0.72</v>
      </c>
      <c r="G603" s="20" t="s">
        <v>729</v>
      </c>
      <c r="H603" s="19" t="str">
        <f>HYPERLINK("https://elefant.by/catalogue/451329103","Посмотреть на сайте ...")</f>
        <v>Посмотреть на сайте ...</v>
      </c>
    </row>
    <row r="604" spans="1:8" s="16" customFormat="1" x14ac:dyDescent="0.25">
      <c r="A604" s="17">
        <v>594</v>
      </c>
      <c r="B604" s="17" t="s">
        <v>12</v>
      </c>
      <c r="C604" s="17" t="s">
        <v>730</v>
      </c>
      <c r="D604" s="18">
        <v>12</v>
      </c>
      <c r="E604" s="18">
        <v>0.6</v>
      </c>
      <c r="F604" s="18">
        <v>0.72</v>
      </c>
      <c r="G604" s="20" t="s">
        <v>731</v>
      </c>
      <c r="H604" s="19" t="str">
        <f>HYPERLINK("https://elefant.by/catalogue/451329104","Посмотреть на сайте ...")</f>
        <v>Посмотреть на сайте ...</v>
      </c>
    </row>
    <row r="605" spans="1:8" s="16" customFormat="1" x14ac:dyDescent="0.25">
      <c r="A605" s="17">
        <v>595</v>
      </c>
      <c r="B605" s="17" t="s">
        <v>12</v>
      </c>
      <c r="C605" s="17" t="s">
        <v>732</v>
      </c>
      <c r="D605" s="18">
        <v>12</v>
      </c>
      <c r="E605" s="18">
        <v>0.6</v>
      </c>
      <c r="F605" s="18">
        <v>0.72</v>
      </c>
      <c r="G605" s="20" t="s">
        <v>733</v>
      </c>
      <c r="H605" s="19" t="str">
        <f>HYPERLINK("https://elefant.by/catalogue/451329105","Посмотреть на сайте ...")</f>
        <v>Посмотреть на сайте ...</v>
      </c>
    </row>
    <row r="606" spans="1:8" s="16" customFormat="1" x14ac:dyDescent="0.25">
      <c r="A606" s="17">
        <v>596</v>
      </c>
      <c r="B606" s="17" t="s">
        <v>12</v>
      </c>
      <c r="C606" s="17" t="s">
        <v>734</v>
      </c>
      <c r="D606" s="18">
        <v>12</v>
      </c>
      <c r="E606" s="18">
        <v>1.05</v>
      </c>
      <c r="F606" s="18">
        <v>1.26</v>
      </c>
      <c r="G606" s="20" t="s">
        <v>735</v>
      </c>
      <c r="H606" s="19" t="str">
        <f>HYPERLINK("https://elefant.by/catalogue/451365145","Посмотреть на сайте ...")</f>
        <v>Посмотреть на сайте ...</v>
      </c>
    </row>
    <row r="607" spans="1:8" s="16" customFormat="1" x14ac:dyDescent="0.25">
      <c r="A607" s="17">
        <v>597</v>
      </c>
      <c r="B607" s="17" t="s">
        <v>12</v>
      </c>
      <c r="C607" s="17" t="s">
        <v>736</v>
      </c>
      <c r="D607" s="18">
        <v>12</v>
      </c>
      <c r="E607" s="18">
        <v>1.05</v>
      </c>
      <c r="F607" s="18">
        <v>1.26</v>
      </c>
      <c r="G607" s="20" t="s">
        <v>737</v>
      </c>
      <c r="H607" s="19" t="str">
        <f>HYPERLINK("https://elefant.by/catalogue/451365141","Посмотреть на сайте ...")</f>
        <v>Посмотреть на сайте ...</v>
      </c>
    </row>
    <row r="608" spans="1:8" s="16" customFormat="1" x14ac:dyDescent="0.25">
      <c r="A608" s="17">
        <v>598</v>
      </c>
      <c r="B608" s="17" t="s">
        <v>12</v>
      </c>
      <c r="C608" s="17" t="s">
        <v>738</v>
      </c>
      <c r="D608" s="18">
        <v>12</v>
      </c>
      <c r="E608" s="18">
        <v>1.05</v>
      </c>
      <c r="F608" s="18">
        <v>1.26</v>
      </c>
      <c r="G608" s="20" t="s">
        <v>739</v>
      </c>
      <c r="H608" s="19" t="str">
        <f>HYPERLINK("https://elefant.by/catalogue/451365142","Посмотреть на сайте ...")</f>
        <v>Посмотреть на сайте ...</v>
      </c>
    </row>
    <row r="609" spans="1:8" s="16" customFormat="1" x14ac:dyDescent="0.25">
      <c r="A609" s="17">
        <v>599</v>
      </c>
      <c r="B609" s="17" t="s">
        <v>12</v>
      </c>
      <c r="C609" s="17" t="s">
        <v>740</v>
      </c>
      <c r="D609" s="18">
        <v>12</v>
      </c>
      <c r="E609" s="18">
        <v>1.05</v>
      </c>
      <c r="F609" s="18">
        <v>1.26</v>
      </c>
      <c r="G609" s="20" t="s">
        <v>741</v>
      </c>
      <c r="H609" s="19" t="str">
        <f>HYPERLINK("https://elefant.by/catalogue/451365143","Посмотреть на сайте ...")</f>
        <v>Посмотреть на сайте ...</v>
      </c>
    </row>
    <row r="610" spans="1:8" s="16" customFormat="1" x14ac:dyDescent="0.25">
      <c r="A610" s="17">
        <v>600</v>
      </c>
      <c r="B610" s="17" t="s">
        <v>12</v>
      </c>
      <c r="C610" s="17" t="s">
        <v>742</v>
      </c>
      <c r="D610" s="18">
        <v>12</v>
      </c>
      <c r="E610" s="18">
        <v>1.05</v>
      </c>
      <c r="F610" s="18">
        <v>1.26</v>
      </c>
      <c r="G610" s="20" t="s">
        <v>743</v>
      </c>
      <c r="H610" s="19" t="str">
        <f>HYPERLINK("https://elefant.by/catalogue/451365144","Посмотреть на сайте ...")</f>
        <v>Посмотреть на сайте ...</v>
      </c>
    </row>
    <row r="611" spans="1:8" s="16" customFormat="1" x14ac:dyDescent="0.25">
      <c r="A611" s="17">
        <v>601</v>
      </c>
      <c r="B611" s="17" t="s">
        <v>12</v>
      </c>
      <c r="C611" s="17" t="s">
        <v>744</v>
      </c>
      <c r="D611" s="18">
        <v>12</v>
      </c>
      <c r="E611" s="18">
        <v>0.71</v>
      </c>
      <c r="F611" s="18">
        <v>0.85</v>
      </c>
      <c r="G611" s="20" t="s">
        <v>745</v>
      </c>
      <c r="H611" s="19" t="str">
        <f>HYPERLINK("https://elefant.by/catalogue/451365111","Посмотреть на сайте ...")</f>
        <v>Посмотреть на сайте ...</v>
      </c>
    </row>
    <row r="612" spans="1:8" s="16" customFormat="1" x14ac:dyDescent="0.25">
      <c r="A612" s="17">
        <v>602</v>
      </c>
      <c r="B612" s="17" t="s">
        <v>12</v>
      </c>
      <c r="C612" s="17" t="s">
        <v>746</v>
      </c>
      <c r="D612" s="18">
        <v>12</v>
      </c>
      <c r="E612" s="18">
        <v>0.71</v>
      </c>
      <c r="F612" s="18">
        <v>0.85</v>
      </c>
      <c r="G612" s="20" t="s">
        <v>747</v>
      </c>
      <c r="H612" s="19" t="str">
        <f>HYPERLINK("https://elefant.by/catalogue/451365112","Посмотреть на сайте ...")</f>
        <v>Посмотреть на сайте ...</v>
      </c>
    </row>
    <row r="613" spans="1:8" s="16" customFormat="1" x14ac:dyDescent="0.25">
      <c r="A613" s="17">
        <v>603</v>
      </c>
      <c r="B613" s="17" t="s">
        <v>12</v>
      </c>
      <c r="C613" s="17" t="s">
        <v>748</v>
      </c>
      <c r="D613" s="18">
        <v>12</v>
      </c>
      <c r="E613" s="18">
        <v>0.71</v>
      </c>
      <c r="F613" s="18">
        <v>0.85</v>
      </c>
      <c r="G613" s="20" t="s">
        <v>749</v>
      </c>
      <c r="H613" s="19" t="str">
        <f>HYPERLINK("https://elefant.by/catalogue/451365139","Посмотреть на сайте ...")</f>
        <v>Посмотреть на сайте ...</v>
      </c>
    </row>
    <row r="614" spans="1:8" s="16" customFormat="1" x14ac:dyDescent="0.25">
      <c r="A614" s="17">
        <v>604</v>
      </c>
      <c r="B614" s="17" t="s">
        <v>12</v>
      </c>
      <c r="C614" s="17" t="s">
        <v>3169</v>
      </c>
      <c r="D614" s="18">
        <v>12</v>
      </c>
      <c r="E614" s="18">
        <v>4.09</v>
      </c>
      <c r="F614" s="18">
        <v>4.91</v>
      </c>
      <c r="G614" s="20" t="s">
        <v>4294</v>
      </c>
      <c r="H614" s="19" t="str">
        <f>HYPERLINK("https://elefant.by/catalogue/685329425","Посмотреть на сайте ...")</f>
        <v>Посмотреть на сайте ...</v>
      </c>
    </row>
    <row r="615" spans="1:8" s="16" customFormat="1" x14ac:dyDescent="0.25">
      <c r="A615" s="17">
        <v>605</v>
      </c>
      <c r="B615" s="17" t="s">
        <v>9</v>
      </c>
      <c r="C615" s="17" t="s">
        <v>694</v>
      </c>
      <c r="D615" s="18">
        <v>12</v>
      </c>
      <c r="E615" s="18">
        <v>1.9</v>
      </c>
      <c r="F615" s="18">
        <v>2.2799999999999998</v>
      </c>
      <c r="G615" s="20" t="s">
        <v>695</v>
      </c>
      <c r="H615" s="19" t="str">
        <f>HYPERLINK("https://elefant.by/catalogue/345164362","Посмотреть на сайте ...")</f>
        <v>Посмотреть на сайте ...</v>
      </c>
    </row>
    <row r="616" spans="1:8" s="16" customFormat="1" x14ac:dyDescent="0.25">
      <c r="A616" s="17">
        <v>606</v>
      </c>
      <c r="B616" s="17" t="s">
        <v>9</v>
      </c>
      <c r="C616" s="17" t="s">
        <v>696</v>
      </c>
      <c r="D616" s="18">
        <v>10</v>
      </c>
      <c r="E616" s="18">
        <v>1.45</v>
      </c>
      <c r="F616" s="18">
        <v>1.74</v>
      </c>
      <c r="G616" s="20" t="s">
        <v>697</v>
      </c>
      <c r="H616" s="19" t="str">
        <f>HYPERLINK("https://elefant.by/catalogue/147150102","Посмотреть на сайте ...")</f>
        <v>Посмотреть на сайте ...</v>
      </c>
    </row>
    <row r="617" spans="1:8" s="16" customFormat="1" x14ac:dyDescent="0.25">
      <c r="A617" s="17">
        <v>607</v>
      </c>
      <c r="B617" s="17" t="s">
        <v>9</v>
      </c>
      <c r="C617" s="17" t="s">
        <v>698</v>
      </c>
      <c r="D617" s="18">
        <v>10</v>
      </c>
      <c r="E617" s="18">
        <v>1.45</v>
      </c>
      <c r="F617" s="18">
        <v>1.74</v>
      </c>
      <c r="G617" s="20" t="s">
        <v>699</v>
      </c>
      <c r="H617" s="19" t="str">
        <f>HYPERLINK("https://elefant.by/catalogue/170437420","Посмотреть на сайте ...")</f>
        <v>Посмотреть на сайте ...</v>
      </c>
    </row>
    <row r="618" spans="1:8" s="16" customFormat="1" x14ac:dyDescent="0.25">
      <c r="A618" s="17">
        <v>608</v>
      </c>
      <c r="B618" s="17" t="s">
        <v>9</v>
      </c>
      <c r="C618" s="17" t="s">
        <v>700</v>
      </c>
      <c r="D618" s="18">
        <v>10</v>
      </c>
      <c r="E618" s="18">
        <v>1.45</v>
      </c>
      <c r="F618" s="18">
        <v>1.74</v>
      </c>
      <c r="G618" s="20" t="s">
        <v>701</v>
      </c>
      <c r="H618" s="19" t="str">
        <f>HYPERLINK("https://elefant.by/catalogue/172082861","Посмотреть на сайте ...")</f>
        <v>Посмотреть на сайте ...</v>
      </c>
    </row>
    <row r="619" spans="1:8" s="16" customFormat="1" x14ac:dyDescent="0.25">
      <c r="A619" s="17">
        <v>609</v>
      </c>
      <c r="B619" s="17" t="s">
        <v>9</v>
      </c>
      <c r="C619" s="17" t="s">
        <v>702</v>
      </c>
      <c r="D619" s="18">
        <v>10</v>
      </c>
      <c r="E619" s="18">
        <v>1.45</v>
      </c>
      <c r="F619" s="18">
        <v>1.74</v>
      </c>
      <c r="G619" s="20" t="s">
        <v>703</v>
      </c>
      <c r="H619" s="19" t="str">
        <f>HYPERLINK("https://elefant.by/catalogue/147150100","Посмотреть на сайте ...")</f>
        <v>Посмотреть на сайте ...</v>
      </c>
    </row>
    <row r="620" spans="1:8" s="16" customFormat="1" x14ac:dyDescent="0.25">
      <c r="A620" s="17">
        <v>610</v>
      </c>
      <c r="B620" s="17" t="s">
        <v>9</v>
      </c>
      <c r="C620" s="17" t="s">
        <v>704</v>
      </c>
      <c r="D620" s="18">
        <v>10</v>
      </c>
      <c r="E620" s="18">
        <v>1.23</v>
      </c>
      <c r="F620" s="18">
        <v>1.48</v>
      </c>
      <c r="G620" s="20" t="s">
        <v>705</v>
      </c>
      <c r="H620" s="19" t="str">
        <f>HYPERLINK("https://elefant.by/catalogue/172080930","Посмотреть на сайте ...")</f>
        <v>Посмотреть на сайте ...</v>
      </c>
    </row>
    <row r="621" spans="1:8" s="16" customFormat="1" x14ac:dyDescent="0.25">
      <c r="A621" s="17">
        <v>611</v>
      </c>
      <c r="B621" s="17" t="s">
        <v>9</v>
      </c>
      <c r="C621" s="17" t="s">
        <v>706</v>
      </c>
      <c r="D621" s="18">
        <v>10</v>
      </c>
      <c r="E621" s="18">
        <v>1.23</v>
      </c>
      <c r="F621" s="18">
        <v>1.48</v>
      </c>
      <c r="G621" s="20" t="s">
        <v>707</v>
      </c>
      <c r="H621" s="19" t="str">
        <f>HYPERLINK("https://elefant.by/catalogue/172080928","Посмотреть на сайте ...")</f>
        <v>Посмотреть на сайте ...</v>
      </c>
    </row>
    <row r="622" spans="1:8" s="16" customFormat="1" x14ac:dyDescent="0.25">
      <c r="A622" s="17">
        <v>612</v>
      </c>
      <c r="B622" s="17" t="s">
        <v>9</v>
      </c>
      <c r="C622" s="17" t="s">
        <v>708</v>
      </c>
      <c r="D622" s="18">
        <v>10</v>
      </c>
      <c r="E622" s="18">
        <v>1.23</v>
      </c>
      <c r="F622" s="18">
        <v>1.48</v>
      </c>
      <c r="G622" s="20" t="s">
        <v>709</v>
      </c>
      <c r="H622" s="19" t="str">
        <f>HYPERLINK("https://elefant.by/catalogue/172080931","Посмотреть на сайте ...")</f>
        <v>Посмотреть на сайте ...</v>
      </c>
    </row>
    <row r="623" spans="1:8" s="16" customFormat="1" x14ac:dyDescent="0.25">
      <c r="A623" s="17">
        <v>613</v>
      </c>
      <c r="B623" s="17" t="s">
        <v>9</v>
      </c>
      <c r="C623" s="17" t="s">
        <v>710</v>
      </c>
      <c r="D623" s="18">
        <v>10</v>
      </c>
      <c r="E623" s="18">
        <v>1.23</v>
      </c>
      <c r="F623" s="18">
        <v>1.48</v>
      </c>
      <c r="G623" s="20" t="s">
        <v>711</v>
      </c>
      <c r="H623" s="19" t="str">
        <f>HYPERLINK("https://elefant.by/catalogue/172080929","Посмотреть на сайте ...")</f>
        <v>Посмотреть на сайте ...</v>
      </c>
    </row>
    <row r="624" spans="1:8" s="16" customFormat="1" x14ac:dyDescent="0.25">
      <c r="A624" s="17">
        <v>614</v>
      </c>
      <c r="B624" s="17" t="s">
        <v>12</v>
      </c>
      <c r="C624" s="17" t="s">
        <v>3170</v>
      </c>
      <c r="D624" s="18">
        <v>12</v>
      </c>
      <c r="E624" s="18">
        <v>4.1100000000000003</v>
      </c>
      <c r="F624" s="18">
        <v>4.93</v>
      </c>
      <c r="G624" s="20" t="s">
        <v>4295</v>
      </c>
      <c r="H624" s="19" t="str">
        <f>HYPERLINK("https://elefant.by/catalogue/685329427","Посмотреть на сайте ...")</f>
        <v>Посмотреть на сайте ...</v>
      </c>
    </row>
    <row r="625" spans="1:8" s="16" customFormat="1" x14ac:dyDescent="0.25">
      <c r="A625" s="17">
        <v>615</v>
      </c>
      <c r="B625" s="17" t="s">
        <v>12</v>
      </c>
      <c r="C625" s="17" t="s">
        <v>3171</v>
      </c>
      <c r="D625" s="18">
        <v>12</v>
      </c>
      <c r="E625" s="18">
        <v>2.69</v>
      </c>
      <c r="F625" s="18">
        <v>3.23</v>
      </c>
      <c r="G625" s="20" t="s">
        <v>4296</v>
      </c>
      <c r="H625" s="19" t="str">
        <f>HYPERLINK("https://elefant.by/catalogue/685329426","Посмотреть на сайте ...")</f>
        <v>Посмотреть на сайте ...</v>
      </c>
    </row>
    <row r="626" spans="1:8" s="16" customFormat="1" x14ac:dyDescent="0.25">
      <c r="A626" s="17">
        <v>616</v>
      </c>
      <c r="B626" s="17" t="s">
        <v>13</v>
      </c>
      <c r="C626" s="17" t="s">
        <v>3172</v>
      </c>
      <c r="D626" s="18">
        <v>16</v>
      </c>
      <c r="E626" s="18">
        <v>3.68</v>
      </c>
      <c r="F626" s="18">
        <v>4.42</v>
      </c>
      <c r="G626" s="20" t="s">
        <v>4297</v>
      </c>
      <c r="H626" s="19" t="str">
        <f>HYPERLINK("https://elefant.by/catalogue/704086153","Посмотреть на сайте ...")</f>
        <v>Посмотреть на сайте ...</v>
      </c>
    </row>
    <row r="627" spans="1:8" s="16" customFormat="1" x14ac:dyDescent="0.25">
      <c r="A627" s="17">
        <v>617</v>
      </c>
      <c r="B627" s="17" t="s">
        <v>13</v>
      </c>
      <c r="C627" s="17" t="s">
        <v>3173</v>
      </c>
      <c r="D627" s="18">
        <v>16</v>
      </c>
      <c r="E627" s="18">
        <v>3.68</v>
      </c>
      <c r="F627" s="18">
        <v>4.42</v>
      </c>
      <c r="G627" s="20" t="s">
        <v>4298</v>
      </c>
      <c r="H627" s="19" t="str">
        <f>HYPERLINK("https://elefant.by/catalogue/704086154","Посмотреть на сайте ...")</f>
        <v>Посмотреть на сайте ...</v>
      </c>
    </row>
    <row r="628" spans="1:8" s="16" customFormat="1" x14ac:dyDescent="0.25">
      <c r="A628" s="17">
        <v>618</v>
      </c>
      <c r="B628" s="17" t="s">
        <v>13</v>
      </c>
      <c r="C628" s="17" t="s">
        <v>3174</v>
      </c>
      <c r="D628" s="18">
        <v>16</v>
      </c>
      <c r="E628" s="18">
        <v>4.01</v>
      </c>
      <c r="F628" s="18">
        <v>4.8099999999999996</v>
      </c>
      <c r="G628" s="20" t="s">
        <v>4299</v>
      </c>
      <c r="H628" s="19" t="str">
        <f>HYPERLINK("https://elefant.by/catalogue/704086155","Посмотреть на сайте ...")</f>
        <v>Посмотреть на сайте ...</v>
      </c>
    </row>
    <row r="629" spans="1:8" s="16" customFormat="1" x14ac:dyDescent="0.25">
      <c r="A629" s="17">
        <v>619</v>
      </c>
      <c r="B629" s="17" t="s">
        <v>13</v>
      </c>
      <c r="C629" s="17" t="s">
        <v>3175</v>
      </c>
      <c r="D629" s="18">
        <v>16</v>
      </c>
      <c r="E629" s="18">
        <v>4.01</v>
      </c>
      <c r="F629" s="18">
        <v>4.8099999999999996</v>
      </c>
      <c r="G629" s="20" t="s">
        <v>4300</v>
      </c>
      <c r="H629" s="19" t="str">
        <f>HYPERLINK("https://elefant.by/catalogue/704086156","Посмотреть на сайте ...")</f>
        <v>Посмотреть на сайте ...</v>
      </c>
    </row>
    <row r="630" spans="1:8" s="16" customFormat="1" x14ac:dyDescent="0.25">
      <c r="A630" s="17">
        <v>620</v>
      </c>
      <c r="B630" s="17" t="s">
        <v>13</v>
      </c>
      <c r="C630" s="17" t="s">
        <v>3176</v>
      </c>
      <c r="D630" s="18">
        <v>20</v>
      </c>
      <c r="E630" s="18">
        <v>2.12</v>
      </c>
      <c r="F630" s="18">
        <v>2.54</v>
      </c>
      <c r="G630" s="20" t="s">
        <v>4301</v>
      </c>
      <c r="H630" s="19" t="str">
        <f>HYPERLINK("https://elefant.by/catalogue/425401091","Посмотреть на сайте ...")</f>
        <v>Посмотреть на сайте ...</v>
      </c>
    </row>
    <row r="631" spans="1:8" s="16" customFormat="1" x14ac:dyDescent="0.25">
      <c r="A631" s="17">
        <v>621</v>
      </c>
      <c r="B631" s="17" t="s">
        <v>13</v>
      </c>
      <c r="C631" s="17" t="s">
        <v>3177</v>
      </c>
      <c r="D631" s="18">
        <v>20</v>
      </c>
      <c r="E631" s="18">
        <v>2.95</v>
      </c>
      <c r="F631" s="18">
        <v>3.54</v>
      </c>
      <c r="G631" s="20" t="s">
        <v>4302</v>
      </c>
      <c r="H631" s="19" t="str">
        <f>HYPERLINK("https://elefant.by/catalogue/704086149","Посмотреть на сайте ...")</f>
        <v>Посмотреть на сайте ...</v>
      </c>
    </row>
    <row r="632" spans="1:8" s="16" customFormat="1" x14ac:dyDescent="0.25">
      <c r="A632" s="17">
        <v>622</v>
      </c>
      <c r="B632" s="17" t="s">
        <v>13</v>
      </c>
      <c r="C632" s="17" t="s">
        <v>3178</v>
      </c>
      <c r="D632" s="18">
        <v>20</v>
      </c>
      <c r="E632" s="18">
        <v>2.95</v>
      </c>
      <c r="F632" s="18">
        <v>3.54</v>
      </c>
      <c r="G632" s="20" t="s">
        <v>4303</v>
      </c>
      <c r="H632" s="19" t="str">
        <f>HYPERLINK("https://elefant.by/catalogue/704086151","Посмотреть на сайте ...")</f>
        <v>Посмотреть на сайте ...</v>
      </c>
    </row>
    <row r="633" spans="1:8" s="16" customFormat="1" x14ac:dyDescent="0.25">
      <c r="A633" s="17">
        <v>623</v>
      </c>
      <c r="B633" s="17" t="s">
        <v>13</v>
      </c>
      <c r="C633" s="17" t="s">
        <v>3179</v>
      </c>
      <c r="D633" s="18">
        <v>20</v>
      </c>
      <c r="E633" s="18">
        <v>2.95</v>
      </c>
      <c r="F633" s="18">
        <v>3.54</v>
      </c>
      <c r="G633" s="20" t="s">
        <v>4304</v>
      </c>
      <c r="H633" s="19" t="str">
        <f>HYPERLINK("https://elefant.by/catalogue/704086152","Посмотреть на сайте ...")</f>
        <v>Посмотреть на сайте ...</v>
      </c>
    </row>
    <row r="634" spans="1:8" s="16" customFormat="1" x14ac:dyDescent="0.25">
      <c r="A634" s="17">
        <v>624</v>
      </c>
      <c r="B634" s="17" t="s">
        <v>63</v>
      </c>
      <c r="C634" s="17" t="s">
        <v>750</v>
      </c>
      <c r="D634" s="18">
        <v>10</v>
      </c>
      <c r="E634" s="18">
        <v>2.12</v>
      </c>
      <c r="F634" s="18">
        <v>2.54</v>
      </c>
      <c r="G634" s="20" t="s">
        <v>751</v>
      </c>
      <c r="H634" s="19" t="str">
        <f>HYPERLINK("https://elefant.by/catalogue/567441323","Посмотреть на сайте ...")</f>
        <v>Посмотреть на сайте ...</v>
      </c>
    </row>
    <row r="635" spans="1:8" s="16" customFormat="1" x14ac:dyDescent="0.25">
      <c r="A635" s="17">
        <v>625</v>
      </c>
      <c r="B635" s="17" t="s">
        <v>20</v>
      </c>
      <c r="C635" s="17" t="s">
        <v>752</v>
      </c>
      <c r="D635" s="18">
        <v>10</v>
      </c>
      <c r="E635" s="18">
        <v>3</v>
      </c>
      <c r="F635" s="18">
        <v>3.6</v>
      </c>
      <c r="G635" s="20" t="s">
        <v>753</v>
      </c>
      <c r="H635" s="19" t="str">
        <f>HYPERLINK("https://elefant.by/catalogue/533469963","Посмотреть на сайте ...")</f>
        <v>Посмотреть на сайте ...</v>
      </c>
    </row>
    <row r="636" spans="1:8" s="16" customFormat="1" x14ac:dyDescent="0.25">
      <c r="A636" s="17">
        <v>626</v>
      </c>
      <c r="B636" s="17" t="s">
        <v>20</v>
      </c>
      <c r="C636" s="17" t="s">
        <v>754</v>
      </c>
      <c r="D636" s="18">
        <v>10</v>
      </c>
      <c r="E636" s="18">
        <v>2.86</v>
      </c>
      <c r="F636" s="18">
        <v>3.43</v>
      </c>
      <c r="G636" s="20" t="s">
        <v>755</v>
      </c>
      <c r="H636" s="19" t="str">
        <f>HYPERLINK("https://elefant.by/catalogue/386634894","Посмотреть на сайте ...")</f>
        <v>Посмотреть на сайте ...</v>
      </c>
    </row>
    <row r="637" spans="1:8" s="16" customFormat="1" x14ac:dyDescent="0.25">
      <c r="A637" s="17">
        <v>627</v>
      </c>
      <c r="B637" s="17" t="s">
        <v>63</v>
      </c>
      <c r="C637" s="17" t="s">
        <v>756</v>
      </c>
      <c r="D637" s="18">
        <v>10</v>
      </c>
      <c r="E637" s="18">
        <v>2.2000000000000002</v>
      </c>
      <c r="F637" s="18">
        <v>2.64</v>
      </c>
      <c r="G637" s="20" t="s">
        <v>757</v>
      </c>
      <c r="H637" s="19" t="str">
        <f>HYPERLINK("https://elefant.by/catalogue/584676591","Посмотреть на сайте ...")</f>
        <v>Посмотреть на сайте ...</v>
      </c>
    </row>
    <row r="638" spans="1:8" s="16" customFormat="1" x14ac:dyDescent="0.25">
      <c r="A638" s="17">
        <v>628</v>
      </c>
      <c r="B638" s="17" t="s">
        <v>63</v>
      </c>
      <c r="C638" s="17" t="s">
        <v>758</v>
      </c>
      <c r="D638" s="18">
        <v>10</v>
      </c>
      <c r="E638" s="18">
        <v>3.28</v>
      </c>
      <c r="F638" s="18">
        <v>3.94</v>
      </c>
      <c r="G638" s="20" t="s">
        <v>759</v>
      </c>
      <c r="H638" s="19" t="str">
        <f>HYPERLINK("https://elefant.by/catalogue/588249528","Посмотреть на сайте ...")</f>
        <v>Посмотреть на сайте ...</v>
      </c>
    </row>
    <row r="639" spans="1:8" s="16" customFormat="1" x14ac:dyDescent="0.25">
      <c r="A639" s="17">
        <v>629</v>
      </c>
      <c r="B639" s="17" t="s">
        <v>223</v>
      </c>
      <c r="C639" s="17" t="s">
        <v>760</v>
      </c>
      <c r="D639" s="18">
        <v>10</v>
      </c>
      <c r="E639" s="18">
        <v>0.48</v>
      </c>
      <c r="F639" s="18">
        <v>0.57999999999999996</v>
      </c>
      <c r="G639" s="20" t="s">
        <v>761</v>
      </c>
      <c r="H639" s="19" t="str">
        <f>HYPERLINK("https://elefant.by/catalogue/175145540","Посмотреть на сайте ...")</f>
        <v>Посмотреть на сайте ...</v>
      </c>
    </row>
    <row r="640" spans="1:8" s="16" customFormat="1" x14ac:dyDescent="0.25">
      <c r="A640" s="17">
        <v>630</v>
      </c>
      <c r="B640" s="17" t="s">
        <v>9</v>
      </c>
      <c r="C640" s="17" t="s">
        <v>3180</v>
      </c>
      <c r="D640" s="18">
        <v>10</v>
      </c>
      <c r="E640" s="18">
        <v>0.61</v>
      </c>
      <c r="F640" s="18">
        <v>0.73</v>
      </c>
      <c r="G640" s="20" t="s">
        <v>4305</v>
      </c>
      <c r="H640" s="19" t="str">
        <f>HYPERLINK("https://elefant.by/catalogue/147587002","Посмотреть на сайте ...")</f>
        <v>Посмотреть на сайте ...</v>
      </c>
    </row>
    <row r="641" spans="1:8" s="16" customFormat="1" x14ac:dyDescent="0.25">
      <c r="A641" s="17">
        <v>631</v>
      </c>
      <c r="B641" s="17" t="s">
        <v>9</v>
      </c>
      <c r="C641" s="17" t="s">
        <v>762</v>
      </c>
      <c r="D641" s="18">
        <v>24</v>
      </c>
      <c r="E641" s="18">
        <v>1.51</v>
      </c>
      <c r="F641" s="18">
        <v>1.81</v>
      </c>
      <c r="G641" s="20" t="s">
        <v>763</v>
      </c>
      <c r="H641" s="19" t="str">
        <f>HYPERLINK("https://elefant.by/catalogue/175185545","Посмотреть на сайте ...")</f>
        <v>Посмотреть на сайте ...</v>
      </c>
    </row>
    <row r="642" spans="1:8" s="16" customFormat="1" x14ac:dyDescent="0.25">
      <c r="A642" s="17">
        <v>632</v>
      </c>
      <c r="B642" s="17" t="s">
        <v>12</v>
      </c>
      <c r="C642" s="17" t="s">
        <v>3181</v>
      </c>
      <c r="D642" s="18">
        <v>10</v>
      </c>
      <c r="E642" s="18">
        <v>0.48</v>
      </c>
      <c r="F642" s="18">
        <v>0.57999999999999996</v>
      </c>
      <c r="G642" s="20" t="s">
        <v>4306</v>
      </c>
      <c r="H642" s="19" t="str">
        <f>HYPERLINK("https://elefant.by/catalogue/451126173","Посмотреть на сайте ...")</f>
        <v>Посмотреть на сайте ...</v>
      </c>
    </row>
    <row r="643" spans="1:8" s="16" customFormat="1" x14ac:dyDescent="0.25">
      <c r="A643" s="17">
        <v>633</v>
      </c>
      <c r="B643" s="17" t="s">
        <v>9</v>
      </c>
      <c r="C643" s="17" t="s">
        <v>764</v>
      </c>
      <c r="D643" s="18">
        <v>24</v>
      </c>
      <c r="E643" s="18">
        <v>1.78</v>
      </c>
      <c r="F643" s="18">
        <v>2.14</v>
      </c>
      <c r="G643" s="20" t="s">
        <v>765</v>
      </c>
      <c r="H643" s="19" t="str">
        <f>HYPERLINK("https://elefant.by/catalogue/160724603","Посмотреть на сайте ...")</f>
        <v>Посмотреть на сайте ...</v>
      </c>
    </row>
    <row r="644" spans="1:8" s="16" customFormat="1" x14ac:dyDescent="0.25">
      <c r="A644" s="17">
        <v>634</v>
      </c>
      <c r="B644" s="17" t="s">
        <v>664</v>
      </c>
      <c r="C644" s="17" t="s">
        <v>766</v>
      </c>
      <c r="D644" s="18">
        <v>1</v>
      </c>
      <c r="E644" s="18">
        <v>3.41</v>
      </c>
      <c r="F644" s="18">
        <v>4.09</v>
      </c>
      <c r="G644" s="20" t="s">
        <v>767</v>
      </c>
      <c r="H644" s="19" t="str">
        <f>HYPERLINK("https://elefant.by/catalogue/428667052","Посмотреть на сайте ...")</f>
        <v>Посмотреть на сайте ...</v>
      </c>
    </row>
    <row r="645" spans="1:8" s="16" customFormat="1" x14ac:dyDescent="0.25">
      <c r="A645" s="17">
        <v>635</v>
      </c>
      <c r="B645" s="17" t="s">
        <v>768</v>
      </c>
      <c r="C645" s="17" t="s">
        <v>769</v>
      </c>
      <c r="D645" s="18">
        <v>1000</v>
      </c>
      <c r="E645" s="18">
        <v>0.06</v>
      </c>
      <c r="F645" s="18">
        <v>7.0000000000000007E-2</v>
      </c>
      <c r="G645" s="20"/>
      <c r="H645" s="19" t="str">
        <f>HYPERLINK("https://elefant.by/catalogue/449657057","Посмотреть на сайте ...")</f>
        <v>Посмотреть на сайте ...</v>
      </c>
    </row>
    <row r="646" spans="1:8" s="16" customFormat="1" x14ac:dyDescent="0.25">
      <c r="A646" s="17">
        <v>636</v>
      </c>
      <c r="B646" s="17" t="s">
        <v>773</v>
      </c>
      <c r="C646" s="17" t="s">
        <v>774</v>
      </c>
      <c r="D646" s="18">
        <v>25</v>
      </c>
      <c r="E646" s="18">
        <v>0.06</v>
      </c>
      <c r="F646" s="18">
        <v>7.0000000000000007E-2</v>
      </c>
      <c r="G646" s="20" t="s">
        <v>775</v>
      </c>
      <c r="H646" s="19" t="str">
        <f>HYPERLINK("https://elefant.by/catalogue/472610439","Посмотреть на сайте ...")</f>
        <v>Посмотреть на сайте ...</v>
      </c>
    </row>
    <row r="647" spans="1:8" s="16" customFormat="1" x14ac:dyDescent="0.25">
      <c r="A647" s="17">
        <v>637</v>
      </c>
      <c r="B647" s="17" t="s">
        <v>773</v>
      </c>
      <c r="C647" s="17" t="s">
        <v>776</v>
      </c>
      <c r="D647" s="18">
        <v>25</v>
      </c>
      <c r="E647" s="18">
        <v>0.06</v>
      </c>
      <c r="F647" s="18">
        <v>7.0000000000000007E-2</v>
      </c>
      <c r="G647" s="20" t="s">
        <v>777</v>
      </c>
      <c r="H647" s="19" t="str">
        <f>HYPERLINK("https://elefant.by/catalogue/472610440","Посмотреть на сайте ...")</f>
        <v>Посмотреть на сайте ...</v>
      </c>
    </row>
    <row r="648" spans="1:8" s="16" customFormat="1" x14ac:dyDescent="0.25">
      <c r="A648" s="17">
        <v>638</v>
      </c>
      <c r="B648" s="17" t="s">
        <v>768</v>
      </c>
      <c r="C648" s="17" t="s">
        <v>770</v>
      </c>
      <c r="D648" s="18">
        <v>500</v>
      </c>
      <c r="E648" s="18">
        <v>0.16</v>
      </c>
      <c r="F648" s="18">
        <v>0.19</v>
      </c>
      <c r="G648" s="20"/>
      <c r="H648" s="19" t="str">
        <f>HYPERLINK("https://elefant.by/catalogue/415863893","Посмотреть на сайте ...")</f>
        <v>Посмотреть на сайте ...</v>
      </c>
    </row>
    <row r="649" spans="1:8" s="16" customFormat="1" x14ac:dyDescent="0.25">
      <c r="A649" s="17">
        <v>639</v>
      </c>
      <c r="B649" s="17" t="s">
        <v>768</v>
      </c>
      <c r="C649" s="17" t="s">
        <v>771</v>
      </c>
      <c r="D649" s="18">
        <v>1000</v>
      </c>
      <c r="E649" s="18">
        <v>0.06</v>
      </c>
      <c r="F649" s="18">
        <v>7.0000000000000007E-2</v>
      </c>
      <c r="G649" s="20"/>
      <c r="H649" s="19" t="str">
        <f>HYPERLINK("https://elefant.by/catalogue/435909393","Посмотреть на сайте ...")</f>
        <v>Посмотреть на сайте ...</v>
      </c>
    </row>
    <row r="650" spans="1:8" s="16" customFormat="1" x14ac:dyDescent="0.25">
      <c r="A650" s="17">
        <v>640</v>
      </c>
      <c r="B650" s="17" t="s">
        <v>768</v>
      </c>
      <c r="C650" s="17" t="s">
        <v>772</v>
      </c>
      <c r="D650" s="18">
        <v>1000</v>
      </c>
      <c r="E650" s="18">
        <v>0.04</v>
      </c>
      <c r="F650" s="18">
        <v>0.05</v>
      </c>
      <c r="G650" s="20"/>
      <c r="H650" s="19" t="str">
        <f>HYPERLINK("https://elefant.by/catalogue/377236896","Посмотреть на сайте ...")</f>
        <v>Посмотреть на сайте ...</v>
      </c>
    </row>
    <row r="651" spans="1:8" s="16" customFormat="1" x14ac:dyDescent="0.25">
      <c r="A651" s="17">
        <v>641</v>
      </c>
      <c r="B651" s="17" t="s">
        <v>20</v>
      </c>
      <c r="C651" s="17" t="s">
        <v>778</v>
      </c>
      <c r="D651" s="18">
        <v>50</v>
      </c>
      <c r="E651" s="18">
        <v>3.51</v>
      </c>
      <c r="F651" s="18">
        <v>4.21</v>
      </c>
      <c r="G651" s="20" t="s">
        <v>779</v>
      </c>
      <c r="H651" s="19" t="str">
        <f>HYPERLINK("https://elefant.by/catalogue/386634891","Посмотреть на сайте ...")</f>
        <v>Посмотреть на сайте ...</v>
      </c>
    </row>
    <row r="652" spans="1:8" s="16" customFormat="1" x14ac:dyDescent="0.25">
      <c r="A652" s="17">
        <v>642</v>
      </c>
      <c r="B652" s="17" t="s">
        <v>12</v>
      </c>
      <c r="C652" s="17" t="s">
        <v>780</v>
      </c>
      <c r="D652" s="18">
        <v>10</v>
      </c>
      <c r="E652" s="18">
        <v>2.77</v>
      </c>
      <c r="F652" s="18">
        <v>3.32</v>
      </c>
      <c r="G652" s="20" t="s">
        <v>781</v>
      </c>
      <c r="H652" s="19" t="str">
        <f>HYPERLINK("https://elefant.by/catalogue/454841692","Посмотреть на сайте ...")</f>
        <v>Посмотреть на сайте ...</v>
      </c>
    </row>
    <row r="653" spans="1:8" s="16" customFormat="1" x14ac:dyDescent="0.25">
      <c r="A653" s="17">
        <v>643</v>
      </c>
      <c r="B653" s="17" t="s">
        <v>12</v>
      </c>
      <c r="C653" s="17" t="s">
        <v>782</v>
      </c>
      <c r="D653" s="18">
        <v>10</v>
      </c>
      <c r="E653" s="18">
        <v>2.77</v>
      </c>
      <c r="F653" s="18">
        <v>3.32</v>
      </c>
      <c r="G653" s="20" t="s">
        <v>783</v>
      </c>
      <c r="H653" s="19" t="str">
        <f>HYPERLINK("https://elefant.by/catalogue/454841685","Посмотреть на сайте ...")</f>
        <v>Посмотреть на сайте ...</v>
      </c>
    </row>
    <row r="654" spans="1:8" s="16" customFormat="1" x14ac:dyDescent="0.25">
      <c r="A654" s="17">
        <v>644</v>
      </c>
      <c r="B654" s="17" t="s">
        <v>12</v>
      </c>
      <c r="C654" s="17" t="s">
        <v>784</v>
      </c>
      <c r="D654" s="18">
        <v>10</v>
      </c>
      <c r="E654" s="18">
        <v>2.77</v>
      </c>
      <c r="F654" s="18">
        <v>3.32</v>
      </c>
      <c r="G654" s="20" t="s">
        <v>785</v>
      </c>
      <c r="H654" s="19" t="str">
        <f>HYPERLINK("https://elefant.by/catalogue/454841693","Посмотреть на сайте ...")</f>
        <v>Посмотреть на сайте ...</v>
      </c>
    </row>
    <row r="655" spans="1:8" s="16" customFormat="1" x14ac:dyDescent="0.25">
      <c r="A655" s="17">
        <v>645</v>
      </c>
      <c r="B655" s="17" t="s">
        <v>20</v>
      </c>
      <c r="C655" s="17" t="s">
        <v>3182</v>
      </c>
      <c r="D655" s="18">
        <v>16</v>
      </c>
      <c r="E655" s="18">
        <v>2.27</v>
      </c>
      <c r="F655" s="18">
        <v>2.72</v>
      </c>
      <c r="G655" s="20" t="s">
        <v>4307</v>
      </c>
      <c r="H655" s="19" t="str">
        <f>HYPERLINK("https://elefant.by/catalogue/690970271","Посмотреть на сайте ...")</f>
        <v>Посмотреть на сайте ...</v>
      </c>
    </row>
    <row r="656" spans="1:8" s="16" customFormat="1" x14ac:dyDescent="0.25">
      <c r="A656" s="17">
        <v>646</v>
      </c>
      <c r="B656" s="17" t="s">
        <v>66</v>
      </c>
      <c r="C656" s="17" t="s">
        <v>786</v>
      </c>
      <c r="D656" s="18">
        <v>16</v>
      </c>
      <c r="E656" s="18">
        <v>2.83</v>
      </c>
      <c r="F656" s="18">
        <v>3.4</v>
      </c>
      <c r="G656" s="20" t="s">
        <v>787</v>
      </c>
      <c r="H656" s="19" t="str">
        <f>HYPERLINK("https://elefant.by/catalogue/148943233","Посмотреть на сайте ...")</f>
        <v>Посмотреть на сайте ...</v>
      </c>
    </row>
    <row r="657" spans="1:8" s="16" customFormat="1" x14ac:dyDescent="0.25">
      <c r="A657" s="17">
        <v>647</v>
      </c>
      <c r="B657" s="17" t="s">
        <v>66</v>
      </c>
      <c r="C657" s="17" t="s">
        <v>788</v>
      </c>
      <c r="D657" s="18">
        <v>16</v>
      </c>
      <c r="E657" s="18">
        <v>2.83</v>
      </c>
      <c r="F657" s="18">
        <v>3.4</v>
      </c>
      <c r="G657" s="20" t="s">
        <v>789</v>
      </c>
      <c r="H657" s="19" t="str">
        <f>HYPERLINK("https://elefant.by/catalogue/148943216","Посмотреть на сайте ...")</f>
        <v>Посмотреть на сайте ...</v>
      </c>
    </row>
    <row r="658" spans="1:8" s="16" customFormat="1" x14ac:dyDescent="0.25">
      <c r="A658" s="17">
        <v>648</v>
      </c>
      <c r="B658" s="17" t="s">
        <v>17</v>
      </c>
      <c r="C658" s="17" t="s">
        <v>3183</v>
      </c>
      <c r="D658" s="18">
        <v>2</v>
      </c>
      <c r="E658" s="18">
        <v>9.1999999999999993</v>
      </c>
      <c r="F658" s="18">
        <v>11.04</v>
      </c>
      <c r="G658" s="20" t="s">
        <v>4308</v>
      </c>
      <c r="H658" s="19" t="str">
        <f>HYPERLINK("https://elefant.by/catalogue/648703814","Посмотреть на сайте ...")</f>
        <v>Посмотреть на сайте ...</v>
      </c>
    </row>
    <row r="659" spans="1:8" s="16" customFormat="1" x14ac:dyDescent="0.25">
      <c r="A659" s="17">
        <v>649</v>
      </c>
      <c r="B659" s="17" t="s">
        <v>790</v>
      </c>
      <c r="C659" s="17" t="s">
        <v>3184</v>
      </c>
      <c r="D659" s="18">
        <v>1</v>
      </c>
      <c r="E659" s="18">
        <v>1.1000000000000001</v>
      </c>
      <c r="F659" s="18">
        <v>1.32</v>
      </c>
      <c r="G659" s="20"/>
      <c r="H659" s="19" t="str">
        <f>HYPERLINK("https://elefant.by/catalogue/587738395","Посмотреть на сайте ...")</f>
        <v>Посмотреть на сайте ...</v>
      </c>
    </row>
    <row r="660" spans="1:8" s="16" customFormat="1" x14ac:dyDescent="0.25">
      <c r="A660" s="17">
        <v>650</v>
      </c>
      <c r="B660" s="17" t="s">
        <v>790</v>
      </c>
      <c r="C660" s="17" t="s">
        <v>3185</v>
      </c>
      <c r="D660" s="18">
        <v>1</v>
      </c>
      <c r="E660" s="18">
        <v>1.1000000000000001</v>
      </c>
      <c r="F660" s="18">
        <v>1.32</v>
      </c>
      <c r="G660" s="20"/>
      <c r="H660" s="19" t="str">
        <f>HYPERLINK("https://elefant.by/catalogue/625357230","Посмотреть на сайте ...")</f>
        <v>Посмотреть на сайте ...</v>
      </c>
    </row>
    <row r="661" spans="1:8" s="16" customFormat="1" x14ac:dyDescent="0.25">
      <c r="A661" s="17">
        <v>651</v>
      </c>
      <c r="B661" s="17" t="s">
        <v>790</v>
      </c>
      <c r="C661" s="17" t="s">
        <v>791</v>
      </c>
      <c r="D661" s="18">
        <v>1</v>
      </c>
      <c r="E661" s="18">
        <v>0.96</v>
      </c>
      <c r="F661" s="18">
        <v>1.1499999999999999</v>
      </c>
      <c r="G661" s="20"/>
      <c r="H661" s="19" t="str">
        <f>HYPERLINK("https://elefant.by/catalogue/606501938","Посмотреть на сайте ...")</f>
        <v>Посмотреть на сайте ...</v>
      </c>
    </row>
    <row r="662" spans="1:8" s="16" customFormat="1" x14ac:dyDescent="0.25">
      <c r="A662" s="17">
        <v>652</v>
      </c>
      <c r="B662" s="17" t="s">
        <v>790</v>
      </c>
      <c r="C662" s="17" t="s">
        <v>3186</v>
      </c>
      <c r="D662" s="18">
        <v>1</v>
      </c>
      <c r="E662" s="18">
        <v>1.26</v>
      </c>
      <c r="F662" s="18">
        <v>1.51</v>
      </c>
      <c r="G662" s="20"/>
      <c r="H662" s="19" t="str">
        <f>HYPERLINK("https://elefant.by/catalogue/584487091","Посмотреть на сайте ...")</f>
        <v>Посмотреть на сайте ...</v>
      </c>
    </row>
    <row r="663" spans="1:8" s="16" customFormat="1" x14ac:dyDescent="0.25">
      <c r="A663" s="17">
        <v>653</v>
      </c>
      <c r="B663" s="17" t="s">
        <v>790</v>
      </c>
      <c r="C663" s="17" t="s">
        <v>792</v>
      </c>
      <c r="D663" s="18">
        <v>1</v>
      </c>
      <c r="E663" s="18">
        <v>1.26</v>
      </c>
      <c r="F663" s="18">
        <v>1.51</v>
      </c>
      <c r="G663" s="20"/>
      <c r="H663" s="19" t="str">
        <f>HYPERLINK("https://elefant.by/catalogue/584487092","Посмотреть на сайте ...")</f>
        <v>Посмотреть на сайте ...</v>
      </c>
    </row>
    <row r="664" spans="1:8" s="16" customFormat="1" x14ac:dyDescent="0.25">
      <c r="A664" s="17">
        <v>654</v>
      </c>
      <c r="B664" s="17" t="s">
        <v>790</v>
      </c>
      <c r="C664" s="17" t="s">
        <v>3187</v>
      </c>
      <c r="D664" s="18">
        <v>1</v>
      </c>
      <c r="E664" s="18">
        <v>1.42</v>
      </c>
      <c r="F664" s="18">
        <v>1.7</v>
      </c>
      <c r="G664" s="20"/>
      <c r="H664" s="19" t="str">
        <f>HYPERLINK("https://elefant.by/catalogue/584487086","Посмотреть на сайте ...")</f>
        <v>Посмотреть на сайте ...</v>
      </c>
    </row>
    <row r="665" spans="1:8" s="16" customFormat="1" x14ac:dyDescent="0.25">
      <c r="A665" s="17">
        <v>655</v>
      </c>
      <c r="B665" s="17" t="s">
        <v>790</v>
      </c>
      <c r="C665" s="17" t="s">
        <v>3188</v>
      </c>
      <c r="D665" s="18">
        <v>1</v>
      </c>
      <c r="E665" s="18">
        <v>1.42</v>
      </c>
      <c r="F665" s="18">
        <v>1.7</v>
      </c>
      <c r="G665" s="20"/>
      <c r="H665" s="19" t="str">
        <f>HYPERLINK("https://elefant.by/catalogue/587738396","Посмотреть на сайте ...")</f>
        <v>Посмотреть на сайте ...</v>
      </c>
    </row>
    <row r="666" spans="1:8" s="16" customFormat="1" x14ac:dyDescent="0.25">
      <c r="A666" s="17">
        <v>656</v>
      </c>
      <c r="B666" s="17" t="s">
        <v>790</v>
      </c>
      <c r="C666" s="17" t="s">
        <v>793</v>
      </c>
      <c r="D666" s="18">
        <v>1</v>
      </c>
      <c r="E666" s="18">
        <v>1.42</v>
      </c>
      <c r="F666" s="18">
        <v>1.7</v>
      </c>
      <c r="G666" s="20"/>
      <c r="H666" s="19" t="str">
        <f>HYPERLINK("https://elefant.by/catalogue/609869722","Посмотреть на сайте ...")</f>
        <v>Посмотреть на сайте ...</v>
      </c>
    </row>
    <row r="667" spans="1:8" s="16" customFormat="1" x14ac:dyDescent="0.25">
      <c r="A667" s="17">
        <v>657</v>
      </c>
      <c r="B667" s="17" t="s">
        <v>790</v>
      </c>
      <c r="C667" s="17" t="s">
        <v>794</v>
      </c>
      <c r="D667" s="18">
        <v>1</v>
      </c>
      <c r="E667" s="18">
        <v>1.25</v>
      </c>
      <c r="F667" s="18">
        <v>1.5</v>
      </c>
      <c r="G667" s="20"/>
      <c r="H667" s="19" t="str">
        <f>HYPERLINK("https://elefant.by/catalogue/584487085","Посмотреть на сайте ...")</f>
        <v>Посмотреть на сайте ...</v>
      </c>
    </row>
    <row r="668" spans="1:8" s="16" customFormat="1" x14ac:dyDescent="0.25">
      <c r="A668" s="17">
        <v>658</v>
      </c>
      <c r="B668" s="17" t="s">
        <v>790</v>
      </c>
      <c r="C668" s="17" t="s">
        <v>3189</v>
      </c>
      <c r="D668" s="18">
        <v>1</v>
      </c>
      <c r="E668" s="18">
        <v>0.96</v>
      </c>
      <c r="F668" s="18">
        <v>1.1499999999999999</v>
      </c>
      <c r="G668" s="20"/>
      <c r="H668" s="19" t="str">
        <f>HYPERLINK("https://elefant.by/catalogue/640617697","Посмотреть на сайте ...")</f>
        <v>Посмотреть на сайте ...</v>
      </c>
    </row>
    <row r="669" spans="1:8" s="16" customFormat="1" x14ac:dyDescent="0.25">
      <c r="A669" s="17">
        <v>659</v>
      </c>
      <c r="B669" s="17" t="s">
        <v>790</v>
      </c>
      <c r="C669" s="17" t="s">
        <v>3190</v>
      </c>
      <c r="D669" s="18">
        <v>1</v>
      </c>
      <c r="E669" s="18">
        <v>0.96</v>
      </c>
      <c r="F669" s="18">
        <v>1.1499999999999999</v>
      </c>
      <c r="G669" s="20"/>
      <c r="H669" s="19" t="str">
        <f>HYPERLINK("https://elefant.by/catalogue/625357231","Посмотреть на сайте ...")</f>
        <v>Посмотреть на сайте ...</v>
      </c>
    </row>
    <row r="670" spans="1:8" s="16" customFormat="1" x14ac:dyDescent="0.25">
      <c r="A670" s="17">
        <v>660</v>
      </c>
      <c r="B670" s="17" t="s">
        <v>790</v>
      </c>
      <c r="C670" s="17" t="s">
        <v>795</v>
      </c>
      <c r="D670" s="18">
        <v>1</v>
      </c>
      <c r="E670" s="18">
        <v>0.9</v>
      </c>
      <c r="F670" s="18">
        <v>1.08</v>
      </c>
      <c r="G670" s="20"/>
      <c r="H670" s="19" t="str">
        <f>HYPERLINK("https://elefant.by/catalogue/617200566","Посмотреть на сайте ...")</f>
        <v>Посмотреть на сайте ...</v>
      </c>
    </row>
    <row r="671" spans="1:8" s="16" customFormat="1" x14ac:dyDescent="0.25">
      <c r="A671" s="17">
        <v>661</v>
      </c>
      <c r="B671" s="17" t="s">
        <v>8</v>
      </c>
      <c r="C671" s="17" t="s">
        <v>796</v>
      </c>
      <c r="D671" s="18">
        <v>70</v>
      </c>
      <c r="E671" s="18">
        <v>0.81</v>
      </c>
      <c r="F671" s="18">
        <v>0.97</v>
      </c>
      <c r="G671" s="20" t="s">
        <v>797</v>
      </c>
      <c r="H671" s="19" t="str">
        <f>HYPERLINK("https://elefant.by/catalogue/148548059","Посмотреть на сайте ...")</f>
        <v>Посмотреть на сайте ...</v>
      </c>
    </row>
    <row r="672" spans="1:8" s="16" customFormat="1" x14ac:dyDescent="0.25">
      <c r="A672" s="17">
        <v>662</v>
      </c>
      <c r="B672" s="17" t="s">
        <v>798</v>
      </c>
      <c r="C672" s="17" t="s">
        <v>799</v>
      </c>
      <c r="D672" s="18">
        <v>10</v>
      </c>
      <c r="E672" s="18">
        <v>2.2599999999999998</v>
      </c>
      <c r="F672" s="18">
        <v>2.71</v>
      </c>
      <c r="G672" s="20" t="s">
        <v>800</v>
      </c>
      <c r="H672" s="19" t="str">
        <f>HYPERLINK("https://elefant.by/catalogue/485596070","Посмотреть на сайте ...")</f>
        <v>Посмотреть на сайте ...</v>
      </c>
    </row>
    <row r="673" spans="1:8" s="16" customFormat="1" x14ac:dyDescent="0.25">
      <c r="A673" s="17">
        <v>663</v>
      </c>
      <c r="B673" s="17" t="s">
        <v>798</v>
      </c>
      <c r="C673" s="17" t="s">
        <v>801</v>
      </c>
      <c r="D673" s="18">
        <v>10</v>
      </c>
      <c r="E673" s="18">
        <v>2.17</v>
      </c>
      <c r="F673" s="18">
        <v>2.6</v>
      </c>
      <c r="G673" s="20" t="s">
        <v>802</v>
      </c>
      <c r="H673" s="19" t="str">
        <f>HYPERLINK("https://elefant.by/catalogue/216565735","Посмотреть на сайте ...")</f>
        <v>Посмотреть на сайте ...</v>
      </c>
    </row>
    <row r="674" spans="1:8" s="16" customFormat="1" x14ac:dyDescent="0.25">
      <c r="A674" s="17">
        <v>664</v>
      </c>
      <c r="B674" s="17" t="s">
        <v>798</v>
      </c>
      <c r="C674" s="17" t="s">
        <v>803</v>
      </c>
      <c r="D674" s="18">
        <v>10</v>
      </c>
      <c r="E674" s="18">
        <v>2.2000000000000002</v>
      </c>
      <c r="F674" s="18">
        <v>2.64</v>
      </c>
      <c r="G674" s="20" t="s">
        <v>804</v>
      </c>
      <c r="H674" s="19" t="str">
        <f>HYPERLINK("https://elefant.by/catalogue/491183566","Посмотреть на сайте ...")</f>
        <v>Посмотреть на сайте ...</v>
      </c>
    </row>
    <row r="675" spans="1:8" s="16" customFormat="1" x14ac:dyDescent="0.25">
      <c r="A675" s="17">
        <v>665</v>
      </c>
      <c r="B675" s="17" t="s">
        <v>8</v>
      </c>
      <c r="C675" s="17" t="s">
        <v>805</v>
      </c>
      <c r="D675" s="18">
        <v>24</v>
      </c>
      <c r="E675" s="18">
        <v>1.94</v>
      </c>
      <c r="F675" s="18">
        <v>2.33</v>
      </c>
      <c r="G675" s="20" t="s">
        <v>806</v>
      </c>
      <c r="H675" s="19" t="str">
        <f>HYPERLINK("https://elefant.by/catalogue/149904934","Посмотреть на сайте ...")</f>
        <v>Посмотреть на сайте ...</v>
      </c>
    </row>
    <row r="676" spans="1:8" s="16" customFormat="1" x14ac:dyDescent="0.25">
      <c r="A676" s="17">
        <v>666</v>
      </c>
      <c r="B676" s="17" t="s">
        <v>20</v>
      </c>
      <c r="C676" s="17" t="s">
        <v>807</v>
      </c>
      <c r="D676" s="18">
        <v>12</v>
      </c>
      <c r="E676" s="18">
        <v>0.81</v>
      </c>
      <c r="F676" s="18">
        <v>0.97</v>
      </c>
      <c r="G676" s="20" t="s">
        <v>808</v>
      </c>
      <c r="H676" s="19" t="str">
        <f>HYPERLINK("https://elefant.by/catalogue/500298589","Посмотреть на сайте ...")</f>
        <v>Посмотреть на сайте ...</v>
      </c>
    </row>
    <row r="677" spans="1:8" s="16" customFormat="1" x14ac:dyDescent="0.25">
      <c r="A677" s="17">
        <v>667</v>
      </c>
      <c r="B677" s="17" t="s">
        <v>20</v>
      </c>
      <c r="C677" s="17" t="s">
        <v>809</v>
      </c>
      <c r="D677" s="18">
        <v>12</v>
      </c>
      <c r="E677" s="18">
        <v>0.81</v>
      </c>
      <c r="F677" s="18">
        <v>0.97</v>
      </c>
      <c r="G677" s="20" t="s">
        <v>810</v>
      </c>
      <c r="H677" s="19" t="str">
        <f>HYPERLINK("https://elefant.by/catalogue/500298590","Посмотреть на сайте ...")</f>
        <v>Посмотреть на сайте ...</v>
      </c>
    </row>
    <row r="678" spans="1:8" s="16" customFormat="1" x14ac:dyDescent="0.25">
      <c r="A678" s="17">
        <v>668</v>
      </c>
      <c r="B678" s="17" t="s">
        <v>20</v>
      </c>
      <c r="C678" s="17" t="s">
        <v>811</v>
      </c>
      <c r="D678" s="18">
        <v>12</v>
      </c>
      <c r="E678" s="18">
        <v>0.81</v>
      </c>
      <c r="F678" s="18">
        <v>0.97</v>
      </c>
      <c r="G678" s="20" t="s">
        <v>812</v>
      </c>
      <c r="H678" s="19" t="str">
        <f>HYPERLINK("https://elefant.by/catalogue/500298591","Посмотреть на сайте ...")</f>
        <v>Посмотреть на сайте ...</v>
      </c>
    </row>
    <row r="679" spans="1:8" s="16" customFormat="1" x14ac:dyDescent="0.25">
      <c r="A679" s="17">
        <v>669</v>
      </c>
      <c r="B679" s="17" t="s">
        <v>322</v>
      </c>
      <c r="C679" s="17" t="s">
        <v>813</v>
      </c>
      <c r="D679" s="18">
        <v>36</v>
      </c>
      <c r="E679" s="18">
        <v>2.52</v>
      </c>
      <c r="F679" s="18">
        <v>3.02</v>
      </c>
      <c r="G679" s="20" t="s">
        <v>814</v>
      </c>
      <c r="H679" s="19" t="str">
        <f>HYPERLINK("https://elefant.by/catalogue/164337715","Посмотреть на сайте ...")</f>
        <v>Посмотреть на сайте ...</v>
      </c>
    </row>
    <row r="680" spans="1:8" s="16" customFormat="1" x14ac:dyDescent="0.25">
      <c r="A680" s="17">
        <v>670</v>
      </c>
      <c r="B680" s="17" t="s">
        <v>63</v>
      </c>
      <c r="C680" s="17" t="s">
        <v>815</v>
      </c>
      <c r="D680" s="18">
        <v>40</v>
      </c>
      <c r="E680" s="18">
        <v>0.05</v>
      </c>
      <c r="F680" s="18">
        <v>0.06</v>
      </c>
      <c r="G680" s="20" t="s">
        <v>816</v>
      </c>
      <c r="H680" s="19" t="str">
        <f>HYPERLINK("https://elefant.by/catalogue/492334025","Посмотреть на сайте ...")</f>
        <v>Посмотреть на сайте ...</v>
      </c>
    </row>
    <row r="681" spans="1:8" s="16" customFormat="1" x14ac:dyDescent="0.25">
      <c r="A681" s="17">
        <v>671</v>
      </c>
      <c r="B681" s="17" t="s">
        <v>17</v>
      </c>
      <c r="C681" s="17" t="s">
        <v>817</v>
      </c>
      <c r="D681" s="18">
        <v>36</v>
      </c>
      <c r="E681" s="18">
        <v>0.36</v>
      </c>
      <c r="F681" s="18">
        <v>0.43</v>
      </c>
      <c r="G681" s="20" t="s">
        <v>818</v>
      </c>
      <c r="H681" s="19" t="str">
        <f>HYPERLINK("https://elefant.by/catalogue/618937617","Посмотреть на сайте ...")</f>
        <v>Посмотреть на сайте ...</v>
      </c>
    </row>
    <row r="682" spans="1:8" s="16" customFormat="1" x14ac:dyDescent="0.25">
      <c r="A682" s="17">
        <v>672</v>
      </c>
      <c r="B682" s="17" t="s">
        <v>3109</v>
      </c>
      <c r="C682" s="17" t="s">
        <v>3191</v>
      </c>
      <c r="D682" s="18">
        <v>30</v>
      </c>
      <c r="E682" s="18">
        <v>0.76</v>
      </c>
      <c r="F682" s="18">
        <v>0.91</v>
      </c>
      <c r="G682" s="20" t="s">
        <v>4309</v>
      </c>
      <c r="H682" s="19" t="str">
        <f>HYPERLINK("https://elefant.by/catalogue/694939402","Посмотреть на сайте ...")</f>
        <v>Посмотреть на сайте ...</v>
      </c>
    </row>
    <row r="683" spans="1:8" s="16" customFormat="1" x14ac:dyDescent="0.25">
      <c r="A683" s="17">
        <v>673</v>
      </c>
      <c r="B683" s="17" t="s">
        <v>3109</v>
      </c>
      <c r="C683" s="17" t="s">
        <v>3192</v>
      </c>
      <c r="D683" s="18">
        <v>24</v>
      </c>
      <c r="E683" s="18">
        <v>0.69</v>
      </c>
      <c r="F683" s="18">
        <v>0.83</v>
      </c>
      <c r="G683" s="20" t="s">
        <v>4310</v>
      </c>
      <c r="H683" s="19" t="str">
        <f>HYPERLINK("https://elefant.by/catalogue/673626726","Посмотреть на сайте ...")</f>
        <v>Посмотреть на сайте ...</v>
      </c>
    </row>
    <row r="684" spans="1:8" s="16" customFormat="1" x14ac:dyDescent="0.25">
      <c r="A684" s="17">
        <v>674</v>
      </c>
      <c r="B684" s="17" t="s">
        <v>12</v>
      </c>
      <c r="C684" s="17" t="s">
        <v>3196</v>
      </c>
      <c r="D684" s="18">
        <v>24</v>
      </c>
      <c r="E684" s="18">
        <v>0.31</v>
      </c>
      <c r="F684" s="18">
        <v>0.37</v>
      </c>
      <c r="G684" s="20" t="s">
        <v>4316</v>
      </c>
      <c r="H684" s="19" t="str">
        <f>HYPERLINK("https://elefant.by/catalogue/505970878","Посмотреть на сайте ...")</f>
        <v>Посмотреть на сайте ...</v>
      </c>
    </row>
    <row r="685" spans="1:8" s="16" customFormat="1" x14ac:dyDescent="0.25">
      <c r="A685" s="17">
        <v>675</v>
      </c>
      <c r="B685" s="17" t="s">
        <v>12</v>
      </c>
      <c r="C685" s="17" t="s">
        <v>3197</v>
      </c>
      <c r="D685" s="18">
        <v>30</v>
      </c>
      <c r="E685" s="18">
        <v>0.21</v>
      </c>
      <c r="F685" s="18">
        <v>0.25</v>
      </c>
      <c r="G685" s="20" t="s">
        <v>4317</v>
      </c>
      <c r="H685" s="19" t="str">
        <f>HYPERLINK("https://elefant.by/catalogue/492334027","Посмотреть на сайте ...")</f>
        <v>Посмотреть на сайте ...</v>
      </c>
    </row>
    <row r="686" spans="1:8" s="16" customFormat="1" x14ac:dyDescent="0.25">
      <c r="A686" s="17">
        <v>676</v>
      </c>
      <c r="B686" s="17" t="s">
        <v>12</v>
      </c>
      <c r="C686" s="17" t="s">
        <v>879</v>
      </c>
      <c r="D686" s="18">
        <v>30</v>
      </c>
      <c r="E686" s="18">
        <v>0.21</v>
      </c>
      <c r="F686" s="18">
        <v>0.25</v>
      </c>
      <c r="G686" s="20" t="s">
        <v>880</v>
      </c>
      <c r="H686" s="19" t="str">
        <f>HYPERLINK("https://elefant.by/catalogue/492334026","Посмотреть на сайте ...")</f>
        <v>Посмотреть на сайте ...</v>
      </c>
    </row>
    <row r="687" spans="1:8" s="16" customFormat="1" x14ac:dyDescent="0.25">
      <c r="A687" s="17">
        <v>677</v>
      </c>
      <c r="B687" s="17" t="s">
        <v>12</v>
      </c>
      <c r="C687" s="17" t="s">
        <v>881</v>
      </c>
      <c r="D687" s="18">
        <v>30</v>
      </c>
      <c r="E687" s="18">
        <v>0.24</v>
      </c>
      <c r="F687" s="18">
        <v>0.28999999999999998</v>
      </c>
      <c r="G687" s="20" t="s">
        <v>882</v>
      </c>
      <c r="H687" s="19" t="str">
        <f>HYPERLINK("https://elefant.by/catalogue/492334024","Посмотреть на сайте ...")</f>
        <v>Посмотреть на сайте ...</v>
      </c>
    </row>
    <row r="688" spans="1:8" s="16" customFormat="1" x14ac:dyDescent="0.25">
      <c r="A688" s="17">
        <v>678</v>
      </c>
      <c r="B688" s="17" t="s">
        <v>9</v>
      </c>
      <c r="C688" s="17" t="s">
        <v>820</v>
      </c>
      <c r="D688" s="18">
        <v>36</v>
      </c>
      <c r="E688" s="18">
        <v>0.57999999999999996</v>
      </c>
      <c r="F688" s="18">
        <v>0.7</v>
      </c>
      <c r="G688" s="20" t="s">
        <v>821</v>
      </c>
      <c r="H688" s="19" t="str">
        <f>HYPERLINK("https://elefant.by/catalogue/317355673","Посмотреть на сайте ...")</f>
        <v>Посмотреть на сайте ...</v>
      </c>
    </row>
    <row r="689" spans="1:8" s="16" customFormat="1" x14ac:dyDescent="0.25">
      <c r="A689" s="17">
        <v>679</v>
      </c>
      <c r="B689" s="17" t="s">
        <v>9</v>
      </c>
      <c r="C689" s="17" t="s">
        <v>822</v>
      </c>
      <c r="D689" s="18">
        <v>48</v>
      </c>
      <c r="E689" s="18">
        <v>0.24</v>
      </c>
      <c r="F689" s="18">
        <v>0.28999999999999998</v>
      </c>
      <c r="G689" s="20" t="s">
        <v>823</v>
      </c>
      <c r="H689" s="19" t="str">
        <f>HYPERLINK("https://elefant.by/catalogue/153847635","Посмотреть на сайте ...")</f>
        <v>Посмотреть на сайте ...</v>
      </c>
    </row>
    <row r="690" spans="1:8" s="16" customFormat="1" x14ac:dyDescent="0.25">
      <c r="A690" s="17">
        <v>680</v>
      </c>
      <c r="B690" s="17" t="s">
        <v>9</v>
      </c>
      <c r="C690" s="17" t="s">
        <v>824</v>
      </c>
      <c r="D690" s="18">
        <v>36</v>
      </c>
      <c r="E690" s="18">
        <v>0.34</v>
      </c>
      <c r="F690" s="18">
        <v>0.41</v>
      </c>
      <c r="G690" s="20" t="s">
        <v>825</v>
      </c>
      <c r="H690" s="19" t="str">
        <f>HYPERLINK("https://elefant.by/catalogue/570137083","Посмотреть на сайте ...")</f>
        <v>Посмотреть на сайте ...</v>
      </c>
    </row>
    <row r="691" spans="1:8" s="16" customFormat="1" x14ac:dyDescent="0.25">
      <c r="A691" s="17">
        <v>681</v>
      </c>
      <c r="B691" s="17" t="s">
        <v>9</v>
      </c>
      <c r="C691" s="17" t="s">
        <v>826</v>
      </c>
      <c r="D691" s="18">
        <v>36</v>
      </c>
      <c r="E691" s="18">
        <v>0.53</v>
      </c>
      <c r="F691" s="18">
        <v>0.64</v>
      </c>
      <c r="G691" s="20" t="s">
        <v>827</v>
      </c>
      <c r="H691" s="19" t="str">
        <f>HYPERLINK("https://elefant.by/catalogue/570137084","Посмотреть на сайте ...")</f>
        <v>Посмотреть на сайте ...</v>
      </c>
    </row>
    <row r="692" spans="1:8" s="16" customFormat="1" x14ac:dyDescent="0.25">
      <c r="A692" s="17">
        <v>682</v>
      </c>
      <c r="B692" s="17" t="s">
        <v>9</v>
      </c>
      <c r="C692" s="17" t="s">
        <v>828</v>
      </c>
      <c r="D692" s="18">
        <v>24</v>
      </c>
      <c r="E692" s="18">
        <v>0.83</v>
      </c>
      <c r="F692" s="18">
        <v>1</v>
      </c>
      <c r="G692" s="20" t="s">
        <v>829</v>
      </c>
      <c r="H692" s="19" t="str">
        <f>HYPERLINK("https://elefant.by/catalogue/606635272","Посмотреть на сайте ...")</f>
        <v>Посмотреть на сайте ...</v>
      </c>
    </row>
    <row r="693" spans="1:8" s="16" customFormat="1" x14ac:dyDescent="0.25">
      <c r="A693" s="17">
        <v>683</v>
      </c>
      <c r="B693" s="17" t="s">
        <v>9</v>
      </c>
      <c r="C693" s="17" t="s">
        <v>3193</v>
      </c>
      <c r="D693" s="18">
        <v>48</v>
      </c>
      <c r="E693" s="18">
        <v>0.95</v>
      </c>
      <c r="F693" s="18">
        <v>1.1399999999999999</v>
      </c>
      <c r="G693" s="20" t="s">
        <v>4311</v>
      </c>
      <c r="H693" s="19" t="str">
        <f>HYPERLINK("https://elefant.by/catalogue/464983979","Посмотреть на сайте ...")</f>
        <v>Посмотреть на сайте ...</v>
      </c>
    </row>
    <row r="694" spans="1:8" s="16" customFormat="1" x14ac:dyDescent="0.25">
      <c r="A694" s="17">
        <v>684</v>
      </c>
      <c r="B694" s="17" t="s">
        <v>9</v>
      </c>
      <c r="C694" s="17" t="s">
        <v>3194</v>
      </c>
      <c r="D694" s="18">
        <v>48</v>
      </c>
      <c r="E694" s="18">
        <v>1.38</v>
      </c>
      <c r="F694" s="18">
        <v>1.66</v>
      </c>
      <c r="G694" s="20" t="s">
        <v>819</v>
      </c>
      <c r="H694" s="19" t="str">
        <f>HYPERLINK("https://elefant.by/catalogue/463241595","Посмотреть на сайте ...")</f>
        <v>Посмотреть на сайте ...</v>
      </c>
    </row>
    <row r="695" spans="1:8" s="16" customFormat="1" x14ac:dyDescent="0.25">
      <c r="A695" s="17">
        <v>685</v>
      </c>
      <c r="B695" s="17" t="s">
        <v>24</v>
      </c>
      <c r="C695" s="17" t="s">
        <v>830</v>
      </c>
      <c r="D695" s="18">
        <v>48</v>
      </c>
      <c r="E695" s="18">
        <v>0.49</v>
      </c>
      <c r="F695" s="18">
        <v>0.59</v>
      </c>
      <c r="G695" s="20" t="s">
        <v>831</v>
      </c>
      <c r="H695" s="19" t="str">
        <f>HYPERLINK("https://elefant.by/catalogue/167647320","Посмотреть на сайте ...")</f>
        <v>Посмотреть на сайте ...</v>
      </c>
    </row>
    <row r="696" spans="1:8" s="16" customFormat="1" x14ac:dyDescent="0.25">
      <c r="A696" s="17">
        <v>686</v>
      </c>
      <c r="B696" s="17" t="s">
        <v>24</v>
      </c>
      <c r="C696" s="17" t="s">
        <v>833</v>
      </c>
      <c r="D696" s="18">
        <v>25</v>
      </c>
      <c r="E696" s="18">
        <v>1.69</v>
      </c>
      <c r="F696" s="18">
        <v>2.0299999999999998</v>
      </c>
      <c r="G696" s="20" t="s">
        <v>832</v>
      </c>
      <c r="H696" s="19" t="str">
        <f>HYPERLINK("https://elefant.by/catalogue/147399486","Посмотреть на сайте ...")</f>
        <v>Посмотреть на сайте ...</v>
      </c>
    </row>
    <row r="697" spans="1:8" s="16" customFormat="1" x14ac:dyDescent="0.25">
      <c r="A697" s="17">
        <v>687</v>
      </c>
      <c r="B697" s="17" t="s">
        <v>24</v>
      </c>
      <c r="C697" s="17" t="s">
        <v>834</v>
      </c>
      <c r="D697" s="18">
        <v>40</v>
      </c>
      <c r="E697" s="18">
        <v>0.37</v>
      </c>
      <c r="F697" s="18">
        <v>0.44</v>
      </c>
      <c r="G697" s="20" t="s">
        <v>835</v>
      </c>
      <c r="H697" s="19" t="str">
        <f>HYPERLINK("https://elefant.by/catalogue/147111897","Посмотреть на сайте ...")</f>
        <v>Посмотреть на сайте ...</v>
      </c>
    </row>
    <row r="698" spans="1:8" s="16" customFormat="1" x14ac:dyDescent="0.25">
      <c r="A698" s="17">
        <v>688</v>
      </c>
      <c r="B698" s="17" t="s">
        <v>24</v>
      </c>
      <c r="C698" s="17" t="s">
        <v>836</v>
      </c>
      <c r="D698" s="18">
        <v>56</v>
      </c>
      <c r="E698" s="18">
        <v>0.26</v>
      </c>
      <c r="F698" s="18">
        <v>0.31</v>
      </c>
      <c r="G698" s="20" t="s">
        <v>837</v>
      </c>
      <c r="H698" s="19" t="str">
        <f>HYPERLINK("https://elefant.by/catalogue/159520495","Посмотреть на сайте ...")</f>
        <v>Посмотреть на сайте ...</v>
      </c>
    </row>
    <row r="699" spans="1:8" s="16" customFormat="1" x14ac:dyDescent="0.25">
      <c r="A699" s="17">
        <v>689</v>
      </c>
      <c r="B699" s="17" t="s">
        <v>24</v>
      </c>
      <c r="C699" s="17" t="s">
        <v>838</v>
      </c>
      <c r="D699" s="18">
        <v>84</v>
      </c>
      <c r="E699" s="18">
        <v>0.21</v>
      </c>
      <c r="F699" s="18">
        <v>0.25</v>
      </c>
      <c r="G699" s="20" t="s">
        <v>839</v>
      </c>
      <c r="H699" s="19" t="str">
        <f>HYPERLINK("https://elefant.by/catalogue/147111075","Посмотреть на сайте ...")</f>
        <v>Посмотреть на сайте ...</v>
      </c>
    </row>
    <row r="700" spans="1:8" s="16" customFormat="1" x14ac:dyDescent="0.25">
      <c r="A700" s="17">
        <v>690</v>
      </c>
      <c r="B700" s="17" t="s">
        <v>24</v>
      </c>
      <c r="C700" s="17" t="s">
        <v>840</v>
      </c>
      <c r="D700" s="18">
        <v>8</v>
      </c>
      <c r="E700" s="18">
        <v>1.41</v>
      </c>
      <c r="F700" s="18">
        <v>1.69</v>
      </c>
      <c r="G700" s="20" t="s">
        <v>841</v>
      </c>
      <c r="H700" s="19" t="str">
        <f>HYPERLINK("https://elefant.by/catalogue/150691949","Посмотреть на сайте ...")</f>
        <v>Посмотреть на сайте ...</v>
      </c>
    </row>
    <row r="701" spans="1:8" s="16" customFormat="1" x14ac:dyDescent="0.25">
      <c r="A701" s="17">
        <v>691</v>
      </c>
      <c r="B701" s="17" t="s">
        <v>24</v>
      </c>
      <c r="C701" s="17" t="s">
        <v>842</v>
      </c>
      <c r="D701" s="18">
        <v>12</v>
      </c>
      <c r="E701" s="18">
        <v>0.92</v>
      </c>
      <c r="F701" s="18">
        <v>1.1000000000000001</v>
      </c>
      <c r="G701" s="20" t="s">
        <v>843</v>
      </c>
      <c r="H701" s="19" t="str">
        <f>HYPERLINK("https://elefant.by/catalogue/147111885","Посмотреть на сайте ...")</f>
        <v>Посмотреть на сайте ...</v>
      </c>
    </row>
    <row r="702" spans="1:8" s="16" customFormat="1" x14ac:dyDescent="0.25">
      <c r="A702" s="17">
        <v>692</v>
      </c>
      <c r="B702" s="17" t="s">
        <v>24</v>
      </c>
      <c r="C702" s="17" t="s">
        <v>844</v>
      </c>
      <c r="D702" s="18">
        <v>20</v>
      </c>
      <c r="E702" s="18">
        <v>0.64</v>
      </c>
      <c r="F702" s="18">
        <v>0.77</v>
      </c>
      <c r="G702" s="20" t="s">
        <v>845</v>
      </c>
      <c r="H702" s="19" t="str">
        <f>HYPERLINK("https://elefant.by/catalogue/147111887","Посмотреть на сайте ...")</f>
        <v>Посмотреть на сайте ...</v>
      </c>
    </row>
    <row r="703" spans="1:8" s="16" customFormat="1" x14ac:dyDescent="0.25">
      <c r="A703" s="17">
        <v>693</v>
      </c>
      <c r="B703" s="17" t="s">
        <v>24</v>
      </c>
      <c r="C703" s="17" t="s">
        <v>846</v>
      </c>
      <c r="D703" s="18">
        <v>27</v>
      </c>
      <c r="E703" s="18">
        <v>0.44</v>
      </c>
      <c r="F703" s="18">
        <v>0.53</v>
      </c>
      <c r="G703" s="20" t="s">
        <v>847</v>
      </c>
      <c r="H703" s="19" t="str">
        <f>HYPERLINK("https://elefant.by/catalogue/147111889","Посмотреть на сайте ...")</f>
        <v>Посмотреть на сайте ...</v>
      </c>
    </row>
    <row r="704" spans="1:8" s="16" customFormat="1" x14ac:dyDescent="0.25">
      <c r="A704" s="17">
        <v>694</v>
      </c>
      <c r="B704" s="17" t="s">
        <v>24</v>
      </c>
      <c r="C704" s="17" t="s">
        <v>848</v>
      </c>
      <c r="D704" s="18">
        <v>48</v>
      </c>
      <c r="E704" s="18">
        <v>0.27</v>
      </c>
      <c r="F704" s="18">
        <v>0.32</v>
      </c>
      <c r="G704" s="20" t="s">
        <v>849</v>
      </c>
      <c r="H704" s="19" t="str">
        <f>HYPERLINK("https://elefant.by/catalogue/147111116","Посмотреть на сайте ...")</f>
        <v>Посмотреть на сайте ...</v>
      </c>
    </row>
    <row r="705" spans="1:8" s="16" customFormat="1" x14ac:dyDescent="0.25">
      <c r="A705" s="17">
        <v>695</v>
      </c>
      <c r="B705" s="17" t="s">
        <v>24</v>
      </c>
      <c r="C705" s="17" t="s">
        <v>850</v>
      </c>
      <c r="D705" s="18">
        <v>60</v>
      </c>
      <c r="E705" s="18">
        <v>0.21</v>
      </c>
      <c r="F705" s="18">
        <v>0.25</v>
      </c>
      <c r="G705" s="20" t="s">
        <v>851</v>
      </c>
      <c r="H705" s="19" t="str">
        <f>HYPERLINK("https://elefant.by/catalogue/159511464","Посмотреть на сайте ...")</f>
        <v>Посмотреть на сайте ...</v>
      </c>
    </row>
    <row r="706" spans="1:8" s="16" customFormat="1" x14ac:dyDescent="0.25">
      <c r="A706" s="17">
        <v>696</v>
      </c>
      <c r="B706" s="17" t="s">
        <v>24</v>
      </c>
      <c r="C706" s="17" t="s">
        <v>852</v>
      </c>
      <c r="D706" s="18">
        <v>80</v>
      </c>
      <c r="E706" s="18">
        <v>0.16</v>
      </c>
      <c r="F706" s="18">
        <v>0.19</v>
      </c>
      <c r="G706" s="20" t="s">
        <v>4312</v>
      </c>
      <c r="H706" s="19" t="str">
        <f>HYPERLINK("https://elefant.by/catalogue/147111120","Посмотреть на сайте ...")</f>
        <v>Посмотреть на сайте ...</v>
      </c>
    </row>
    <row r="707" spans="1:8" s="16" customFormat="1" x14ac:dyDescent="0.25">
      <c r="A707" s="17">
        <v>697</v>
      </c>
      <c r="B707" s="17" t="s">
        <v>24</v>
      </c>
      <c r="C707" s="17" t="s">
        <v>853</v>
      </c>
      <c r="D707" s="18">
        <v>84</v>
      </c>
      <c r="E707" s="18">
        <v>0.18</v>
      </c>
      <c r="F707" s="18">
        <v>0.22</v>
      </c>
      <c r="G707" s="20" t="s">
        <v>854</v>
      </c>
      <c r="H707" s="19" t="str">
        <f>HYPERLINK("https://elefant.by/catalogue/147111893","Посмотреть на сайте ...")</f>
        <v>Посмотреть на сайте ...</v>
      </c>
    </row>
    <row r="708" spans="1:8" s="16" customFormat="1" x14ac:dyDescent="0.25">
      <c r="A708" s="17">
        <v>698</v>
      </c>
      <c r="B708" s="17" t="s">
        <v>24</v>
      </c>
      <c r="C708" s="17" t="s">
        <v>855</v>
      </c>
      <c r="D708" s="18">
        <v>40</v>
      </c>
      <c r="E708" s="18">
        <v>0.35</v>
      </c>
      <c r="F708" s="18">
        <v>0.42</v>
      </c>
      <c r="G708" s="20" t="s">
        <v>4313</v>
      </c>
      <c r="H708" s="19" t="str">
        <f>HYPERLINK("https://elefant.by/catalogue/147111077","Посмотреть на сайте ...")</f>
        <v>Посмотреть на сайте ...</v>
      </c>
    </row>
    <row r="709" spans="1:8" s="16" customFormat="1" x14ac:dyDescent="0.25">
      <c r="A709" s="17">
        <v>699</v>
      </c>
      <c r="B709" s="17" t="s">
        <v>24</v>
      </c>
      <c r="C709" s="17" t="s">
        <v>856</v>
      </c>
      <c r="D709" s="18">
        <v>56</v>
      </c>
      <c r="E709" s="18">
        <v>0.24</v>
      </c>
      <c r="F709" s="18">
        <v>0.28999999999999998</v>
      </c>
      <c r="G709" s="20" t="s">
        <v>857</v>
      </c>
      <c r="H709" s="19" t="str">
        <f>HYPERLINK("https://elefant.by/catalogue/159520496","Посмотреть на сайте ...")</f>
        <v>Посмотреть на сайте ...</v>
      </c>
    </row>
    <row r="710" spans="1:8" s="16" customFormat="1" x14ac:dyDescent="0.25">
      <c r="A710" s="17">
        <v>700</v>
      </c>
      <c r="B710" s="17" t="s">
        <v>24</v>
      </c>
      <c r="C710" s="17" t="s">
        <v>858</v>
      </c>
      <c r="D710" s="18">
        <v>84</v>
      </c>
      <c r="E710" s="18">
        <v>0.21</v>
      </c>
      <c r="F710" s="18">
        <v>0.25</v>
      </c>
      <c r="G710" s="20" t="s">
        <v>859</v>
      </c>
      <c r="H710" s="19" t="str">
        <f>HYPERLINK("https://elefant.by/catalogue/147111081","Посмотреть на сайте ...")</f>
        <v>Посмотреть на сайте ...</v>
      </c>
    </row>
    <row r="711" spans="1:8" s="16" customFormat="1" x14ac:dyDescent="0.25">
      <c r="A711" s="17">
        <v>701</v>
      </c>
      <c r="B711" s="17" t="s">
        <v>24</v>
      </c>
      <c r="C711" s="17" t="s">
        <v>862</v>
      </c>
      <c r="D711" s="18">
        <v>24</v>
      </c>
      <c r="E711" s="18">
        <v>3.44</v>
      </c>
      <c r="F711" s="18">
        <v>4.13</v>
      </c>
      <c r="G711" s="20" t="s">
        <v>863</v>
      </c>
      <c r="H711" s="19" t="str">
        <f>HYPERLINK("https://elefant.by/catalogue/167647319","Посмотреть на сайте ...")</f>
        <v>Посмотреть на сайте ...</v>
      </c>
    </row>
    <row r="712" spans="1:8" s="16" customFormat="1" x14ac:dyDescent="0.25">
      <c r="A712" s="17">
        <v>702</v>
      </c>
      <c r="B712" s="17" t="s">
        <v>24</v>
      </c>
      <c r="C712" s="17" t="s">
        <v>864</v>
      </c>
      <c r="D712" s="18">
        <v>12</v>
      </c>
      <c r="E712" s="18">
        <v>0.99</v>
      </c>
      <c r="F712" s="18">
        <v>1.19</v>
      </c>
      <c r="G712" s="20" t="s">
        <v>865</v>
      </c>
      <c r="H712" s="19" t="str">
        <f>HYPERLINK("https://elefant.by/catalogue/156512314","Посмотреть на сайте ...")</f>
        <v>Посмотреть на сайте ...</v>
      </c>
    </row>
    <row r="713" spans="1:8" s="16" customFormat="1" x14ac:dyDescent="0.25">
      <c r="A713" s="17">
        <v>703</v>
      </c>
      <c r="B713" s="17" t="s">
        <v>24</v>
      </c>
      <c r="C713" s="17" t="s">
        <v>866</v>
      </c>
      <c r="D713" s="18">
        <v>100</v>
      </c>
      <c r="E713" s="18">
        <v>0.2</v>
      </c>
      <c r="F713" s="18">
        <v>0.24</v>
      </c>
      <c r="G713" s="20" t="s">
        <v>867</v>
      </c>
      <c r="H713" s="19" t="str">
        <f>HYPERLINK("https://elefant.by/catalogue/156512316","Посмотреть на сайте ...")</f>
        <v>Посмотреть на сайте ...</v>
      </c>
    </row>
    <row r="714" spans="1:8" s="16" customFormat="1" x14ac:dyDescent="0.25">
      <c r="A714" s="17">
        <v>704</v>
      </c>
      <c r="B714" s="17" t="s">
        <v>24</v>
      </c>
      <c r="C714" s="17" t="s">
        <v>860</v>
      </c>
      <c r="D714" s="18">
        <v>48</v>
      </c>
      <c r="E714" s="18">
        <v>0.59</v>
      </c>
      <c r="F714" s="18">
        <v>0.71</v>
      </c>
      <c r="G714" s="20" t="s">
        <v>861</v>
      </c>
      <c r="H714" s="19" t="str">
        <f>HYPERLINK("https://elefant.by/catalogue/147399487","Посмотреть на сайте ...")</f>
        <v>Посмотреть на сайте ...</v>
      </c>
    </row>
    <row r="715" spans="1:8" s="16" customFormat="1" x14ac:dyDescent="0.25">
      <c r="A715" s="17">
        <v>705</v>
      </c>
      <c r="B715" s="17" t="s">
        <v>24</v>
      </c>
      <c r="C715" s="17" t="s">
        <v>868</v>
      </c>
      <c r="D715" s="18">
        <v>60</v>
      </c>
      <c r="E715" s="18">
        <v>0.18</v>
      </c>
      <c r="F715" s="18">
        <v>0.22</v>
      </c>
      <c r="G715" s="20" t="s">
        <v>869</v>
      </c>
      <c r="H715" s="19" t="str">
        <f>HYPERLINK("https://elefant.by/catalogue/170287898","Посмотреть на сайте ...")</f>
        <v>Посмотреть на сайте ...</v>
      </c>
    </row>
    <row r="716" spans="1:8" s="16" customFormat="1" x14ac:dyDescent="0.25">
      <c r="A716" s="17">
        <v>706</v>
      </c>
      <c r="B716" s="17" t="s">
        <v>24</v>
      </c>
      <c r="C716" s="17" t="s">
        <v>870</v>
      </c>
      <c r="D716" s="18">
        <v>18</v>
      </c>
      <c r="E716" s="18">
        <v>0.53</v>
      </c>
      <c r="F716" s="18">
        <v>0.64</v>
      </c>
      <c r="G716" s="20" t="s">
        <v>871</v>
      </c>
      <c r="H716" s="19" t="str">
        <f>HYPERLINK("https://elefant.by/catalogue/178796933","Посмотреть на сайте ...")</f>
        <v>Посмотреть на сайте ...</v>
      </c>
    </row>
    <row r="717" spans="1:8" s="16" customFormat="1" x14ac:dyDescent="0.25">
      <c r="A717" s="17">
        <v>707</v>
      </c>
      <c r="B717" s="17" t="s">
        <v>24</v>
      </c>
      <c r="C717" s="17" t="s">
        <v>872</v>
      </c>
      <c r="D717" s="18">
        <v>24</v>
      </c>
      <c r="E717" s="18">
        <v>0.4</v>
      </c>
      <c r="F717" s="18">
        <v>0.48</v>
      </c>
      <c r="G717" s="20" t="s">
        <v>873</v>
      </c>
      <c r="H717" s="19" t="str">
        <f>HYPERLINK("https://elefant.by/catalogue/170287899","Посмотреть на сайте ...")</f>
        <v>Посмотреть на сайте ...</v>
      </c>
    </row>
    <row r="718" spans="1:8" s="16" customFormat="1" x14ac:dyDescent="0.25">
      <c r="A718" s="17">
        <v>708</v>
      </c>
      <c r="B718" s="17" t="s">
        <v>24</v>
      </c>
      <c r="C718" s="17" t="s">
        <v>874</v>
      </c>
      <c r="D718" s="18">
        <v>18</v>
      </c>
      <c r="E718" s="18">
        <v>0.78</v>
      </c>
      <c r="F718" s="18">
        <v>0.94</v>
      </c>
      <c r="G718" s="20" t="s">
        <v>875</v>
      </c>
      <c r="H718" s="19" t="str">
        <f>HYPERLINK("https://elefant.by/catalogue/148186374","Посмотреть на сайте ...")</f>
        <v>Посмотреть на сайте ...</v>
      </c>
    </row>
    <row r="719" spans="1:8" s="16" customFormat="1" x14ac:dyDescent="0.25">
      <c r="A719" s="17">
        <v>709</v>
      </c>
      <c r="B719" s="17" t="s">
        <v>24</v>
      </c>
      <c r="C719" s="17" t="s">
        <v>876</v>
      </c>
      <c r="D719" s="18">
        <v>18</v>
      </c>
      <c r="E719" s="18">
        <v>0.76</v>
      </c>
      <c r="F719" s="18">
        <v>0.91</v>
      </c>
      <c r="G719" s="20" t="s">
        <v>4314</v>
      </c>
      <c r="H719" s="19" t="str">
        <f>HYPERLINK("https://elefant.by/catalogue/148186372","Посмотреть на сайте ...")</f>
        <v>Посмотреть на сайте ...</v>
      </c>
    </row>
    <row r="720" spans="1:8" s="16" customFormat="1" x14ac:dyDescent="0.25">
      <c r="A720" s="17">
        <v>710</v>
      </c>
      <c r="B720" s="17" t="s">
        <v>24</v>
      </c>
      <c r="C720" s="17" t="s">
        <v>877</v>
      </c>
      <c r="D720" s="18">
        <v>15</v>
      </c>
      <c r="E720" s="18">
        <v>0.91</v>
      </c>
      <c r="F720" s="18">
        <v>1.0900000000000001</v>
      </c>
      <c r="G720" s="20" t="s">
        <v>878</v>
      </c>
      <c r="H720" s="19" t="str">
        <f>HYPERLINK("https://elefant.by/catalogue/148186373","Посмотреть на сайте ...")</f>
        <v>Посмотреть на сайте ...</v>
      </c>
    </row>
    <row r="721" spans="1:8" s="16" customFormat="1" x14ac:dyDescent="0.25">
      <c r="A721" s="17">
        <v>711</v>
      </c>
      <c r="B721" s="17" t="s">
        <v>583</v>
      </c>
      <c r="C721" s="17" t="s">
        <v>3195</v>
      </c>
      <c r="D721" s="18">
        <v>30</v>
      </c>
      <c r="E721" s="18">
        <v>0.31</v>
      </c>
      <c r="F721" s="18">
        <v>0.37</v>
      </c>
      <c r="G721" s="20" t="s">
        <v>4315</v>
      </c>
      <c r="H721" s="19" t="str">
        <f>HYPERLINK("https://elefant.by/catalogue/510589665","Посмотреть на сайте ...")</f>
        <v>Посмотреть на сайте ...</v>
      </c>
    </row>
    <row r="722" spans="1:8" s="16" customFormat="1" x14ac:dyDescent="0.25">
      <c r="A722" s="17">
        <v>712</v>
      </c>
      <c r="B722" s="17" t="s">
        <v>12</v>
      </c>
      <c r="C722" s="17" t="s">
        <v>887</v>
      </c>
      <c r="D722" s="18">
        <v>10</v>
      </c>
      <c r="E722" s="18">
        <v>0.47</v>
      </c>
      <c r="F722" s="18">
        <v>0.56000000000000005</v>
      </c>
      <c r="G722" s="20" t="s">
        <v>888</v>
      </c>
      <c r="H722" s="19" t="str">
        <f>HYPERLINK("https://elefant.by/catalogue/451365197","Посмотреть на сайте ...")</f>
        <v>Посмотреть на сайте ...</v>
      </c>
    </row>
    <row r="723" spans="1:8" s="16" customFormat="1" x14ac:dyDescent="0.25">
      <c r="A723" s="17">
        <v>713</v>
      </c>
      <c r="B723" s="17" t="s">
        <v>12</v>
      </c>
      <c r="C723" s="17" t="s">
        <v>889</v>
      </c>
      <c r="D723" s="18">
        <v>10</v>
      </c>
      <c r="E723" s="18">
        <v>0.8</v>
      </c>
      <c r="F723" s="18">
        <v>0.96</v>
      </c>
      <c r="G723" s="20" t="s">
        <v>890</v>
      </c>
      <c r="H723" s="19" t="str">
        <f>HYPERLINK("https://elefant.by/catalogue/451365198","Посмотреть на сайте ...")</f>
        <v>Посмотреть на сайте ...</v>
      </c>
    </row>
    <row r="724" spans="1:8" s="16" customFormat="1" x14ac:dyDescent="0.25">
      <c r="A724" s="17">
        <v>714</v>
      </c>
      <c r="B724" s="17" t="s">
        <v>9</v>
      </c>
      <c r="C724" s="17" t="s">
        <v>883</v>
      </c>
      <c r="D724" s="18">
        <v>24</v>
      </c>
      <c r="E724" s="18">
        <v>1.56</v>
      </c>
      <c r="F724" s="18">
        <v>1.87</v>
      </c>
      <c r="G724" s="20" t="s">
        <v>884</v>
      </c>
      <c r="H724" s="19" t="str">
        <f>HYPERLINK("https://elefant.by/catalogue/150539328","Посмотреть на сайте ...")</f>
        <v>Посмотреть на сайте ...</v>
      </c>
    </row>
    <row r="725" spans="1:8" s="16" customFormat="1" x14ac:dyDescent="0.25">
      <c r="A725" s="17">
        <v>715</v>
      </c>
      <c r="B725" s="17" t="s">
        <v>9</v>
      </c>
      <c r="C725" s="17" t="s">
        <v>885</v>
      </c>
      <c r="D725" s="18">
        <v>24</v>
      </c>
      <c r="E725" s="18">
        <v>2.19</v>
      </c>
      <c r="F725" s="18">
        <v>2.63</v>
      </c>
      <c r="G725" s="20" t="s">
        <v>886</v>
      </c>
      <c r="H725" s="19" t="str">
        <f>HYPERLINK("https://elefant.by/catalogue/160724607","Посмотреть на сайте ...")</f>
        <v>Посмотреть на сайте ...</v>
      </c>
    </row>
    <row r="726" spans="1:8" s="16" customFormat="1" x14ac:dyDescent="0.25">
      <c r="A726" s="17">
        <v>716</v>
      </c>
      <c r="B726" s="17" t="s">
        <v>3198</v>
      </c>
      <c r="C726" s="17" t="s">
        <v>3199</v>
      </c>
      <c r="D726" s="18">
        <v>24</v>
      </c>
      <c r="E726" s="18">
        <v>5.41</v>
      </c>
      <c r="F726" s="18">
        <v>6.49</v>
      </c>
      <c r="G726" s="20" t="s">
        <v>4318</v>
      </c>
      <c r="H726" s="19" t="str">
        <f>HYPERLINK("https://elefant.by/catalogue/428667049","Посмотреть на сайте ...")</f>
        <v>Посмотреть на сайте ...</v>
      </c>
    </row>
    <row r="727" spans="1:8" s="16" customFormat="1" x14ac:dyDescent="0.25">
      <c r="A727" s="17">
        <v>717</v>
      </c>
      <c r="B727" s="17" t="s">
        <v>891</v>
      </c>
      <c r="C727" s="17" t="s">
        <v>3200</v>
      </c>
      <c r="D727" s="18">
        <v>5</v>
      </c>
      <c r="E727" s="18">
        <v>1.1499999999999999</v>
      </c>
      <c r="F727" s="18">
        <v>1.38</v>
      </c>
      <c r="G727" s="20" t="s">
        <v>4319</v>
      </c>
      <c r="H727" s="19" t="str">
        <f>HYPERLINK("https://elefant.by/catalogue/684237482","Посмотреть на сайте ...")</f>
        <v>Посмотреть на сайте ...</v>
      </c>
    </row>
    <row r="728" spans="1:8" s="16" customFormat="1" x14ac:dyDescent="0.25">
      <c r="A728" s="17">
        <v>718</v>
      </c>
      <c r="B728" s="17" t="s">
        <v>891</v>
      </c>
      <c r="C728" s="17" t="s">
        <v>892</v>
      </c>
      <c r="D728" s="18">
        <v>6</v>
      </c>
      <c r="E728" s="18">
        <v>2.86</v>
      </c>
      <c r="F728" s="18">
        <v>3.43</v>
      </c>
      <c r="G728" s="20" t="s">
        <v>893</v>
      </c>
      <c r="H728" s="19" t="str">
        <f>HYPERLINK("https://elefant.by/catalogue/622428844","Посмотреть на сайте ...")</f>
        <v>Посмотреть на сайте ...</v>
      </c>
    </row>
    <row r="729" spans="1:8" s="16" customFormat="1" x14ac:dyDescent="0.25">
      <c r="A729" s="17">
        <v>719</v>
      </c>
      <c r="B729" s="17" t="s">
        <v>894</v>
      </c>
      <c r="C729" s="17" t="s">
        <v>895</v>
      </c>
      <c r="D729" s="18">
        <v>2</v>
      </c>
      <c r="E729" s="18">
        <v>7.8</v>
      </c>
      <c r="F729" s="18">
        <v>9.36</v>
      </c>
      <c r="G729" s="20" t="s">
        <v>896</v>
      </c>
      <c r="H729" s="19" t="str">
        <f>HYPERLINK("https://elefant.by/catalogue/147108230","Посмотреть на сайте ...")</f>
        <v>Посмотреть на сайте ...</v>
      </c>
    </row>
    <row r="730" spans="1:8" s="16" customFormat="1" x14ac:dyDescent="0.25">
      <c r="A730" s="17">
        <v>720</v>
      </c>
      <c r="B730" s="17" t="s">
        <v>66</v>
      </c>
      <c r="C730" s="17" t="s">
        <v>897</v>
      </c>
      <c r="D730" s="18">
        <v>20</v>
      </c>
      <c r="E730" s="18">
        <v>0.51</v>
      </c>
      <c r="F730" s="18">
        <v>0.61</v>
      </c>
      <c r="G730" s="20" t="s">
        <v>898</v>
      </c>
      <c r="H730" s="19" t="str">
        <f>HYPERLINK("https://elefant.by/catalogue/239642671","Посмотреть на сайте ...")</f>
        <v>Посмотреть на сайте ...</v>
      </c>
    </row>
    <row r="731" spans="1:8" s="16" customFormat="1" x14ac:dyDescent="0.25">
      <c r="A731" s="17">
        <v>721</v>
      </c>
      <c r="B731" s="17" t="s">
        <v>13</v>
      </c>
      <c r="C731" s="17" t="s">
        <v>3201</v>
      </c>
      <c r="D731" s="18">
        <v>40</v>
      </c>
      <c r="E731" s="18">
        <v>0.66</v>
      </c>
      <c r="F731" s="18">
        <v>0.79</v>
      </c>
      <c r="G731" s="20" t="s">
        <v>4320</v>
      </c>
      <c r="H731" s="19" t="str">
        <f>HYPERLINK("https://elefant.by/catalogue/655107524","Посмотреть на сайте ...")</f>
        <v>Посмотреть на сайте ...</v>
      </c>
    </row>
    <row r="732" spans="1:8" s="16" customFormat="1" x14ac:dyDescent="0.25">
      <c r="A732" s="17">
        <v>722</v>
      </c>
      <c r="B732" s="17" t="s">
        <v>13</v>
      </c>
      <c r="C732" s="17" t="s">
        <v>3202</v>
      </c>
      <c r="D732" s="18">
        <v>40</v>
      </c>
      <c r="E732" s="18">
        <v>0.66</v>
      </c>
      <c r="F732" s="18">
        <v>0.79</v>
      </c>
      <c r="G732" s="20" t="s">
        <v>4321</v>
      </c>
      <c r="H732" s="19" t="str">
        <f>HYPERLINK("https://elefant.by/catalogue/655107525","Посмотреть на сайте ...")</f>
        <v>Посмотреть на сайте ...</v>
      </c>
    </row>
    <row r="733" spans="1:8" s="16" customFormat="1" x14ac:dyDescent="0.25">
      <c r="A733" s="17">
        <v>723</v>
      </c>
      <c r="B733" s="17" t="s">
        <v>12</v>
      </c>
      <c r="C733" s="17" t="s">
        <v>3203</v>
      </c>
      <c r="D733" s="18">
        <v>10</v>
      </c>
      <c r="E733" s="18">
        <v>1.28</v>
      </c>
      <c r="F733" s="18">
        <v>1.54</v>
      </c>
      <c r="G733" s="20" t="s">
        <v>4322</v>
      </c>
      <c r="H733" s="19" t="str">
        <f>HYPERLINK("https://elefant.by/catalogue/661172544","Посмотреть на сайте ...")</f>
        <v>Посмотреть на сайте ...</v>
      </c>
    </row>
    <row r="734" spans="1:8" s="16" customFormat="1" x14ac:dyDescent="0.25">
      <c r="A734" s="17">
        <v>724</v>
      </c>
      <c r="B734" s="17" t="s">
        <v>12</v>
      </c>
      <c r="C734" s="17" t="s">
        <v>3204</v>
      </c>
      <c r="D734" s="18">
        <v>10</v>
      </c>
      <c r="E734" s="18">
        <v>1.28</v>
      </c>
      <c r="F734" s="18">
        <v>1.54</v>
      </c>
      <c r="G734" s="20" t="s">
        <v>4323</v>
      </c>
      <c r="H734" s="19" t="str">
        <f>HYPERLINK("https://elefant.by/catalogue/661172545","Посмотреть на сайте ...")</f>
        <v>Посмотреть на сайте ...</v>
      </c>
    </row>
    <row r="735" spans="1:8" s="16" customFormat="1" x14ac:dyDescent="0.25">
      <c r="A735" s="17">
        <v>725</v>
      </c>
      <c r="B735" s="17" t="s">
        <v>66</v>
      </c>
      <c r="C735" s="17" t="s">
        <v>899</v>
      </c>
      <c r="D735" s="18">
        <v>20</v>
      </c>
      <c r="E735" s="18">
        <v>0.47</v>
      </c>
      <c r="F735" s="18">
        <v>0.56000000000000005</v>
      </c>
      <c r="G735" s="20" t="s">
        <v>900</v>
      </c>
      <c r="H735" s="19" t="str">
        <f>HYPERLINK("https://elefant.by/catalogue/333437057","Посмотреть на сайте ...")</f>
        <v>Посмотреть на сайте ...</v>
      </c>
    </row>
    <row r="736" spans="1:8" s="16" customFormat="1" x14ac:dyDescent="0.25">
      <c r="A736" s="17">
        <v>726</v>
      </c>
      <c r="B736" s="17" t="s">
        <v>12</v>
      </c>
      <c r="C736" s="17" t="s">
        <v>3205</v>
      </c>
      <c r="D736" s="18">
        <v>60</v>
      </c>
      <c r="E736" s="18">
        <v>0.17</v>
      </c>
      <c r="F736" s="18">
        <v>0.2</v>
      </c>
      <c r="G736" s="20" t="s">
        <v>4324</v>
      </c>
      <c r="H736" s="19" t="str">
        <f>HYPERLINK("https://elefant.by/catalogue/603752684","Посмотреть на сайте ...")</f>
        <v>Посмотреть на сайте ...</v>
      </c>
    </row>
    <row r="737" spans="1:8" s="16" customFormat="1" x14ac:dyDescent="0.25">
      <c r="A737" s="17">
        <v>727</v>
      </c>
      <c r="B737" s="17" t="s">
        <v>12</v>
      </c>
      <c r="C737" s="17" t="s">
        <v>3206</v>
      </c>
      <c r="D737" s="18">
        <v>60</v>
      </c>
      <c r="E737" s="18">
        <v>0.17</v>
      </c>
      <c r="F737" s="18">
        <v>0.2</v>
      </c>
      <c r="G737" s="20" t="s">
        <v>4325</v>
      </c>
      <c r="H737" s="19" t="str">
        <f>HYPERLINK("https://elefant.by/catalogue/596509684","Посмотреть на сайте ...")</f>
        <v>Посмотреть на сайте ...</v>
      </c>
    </row>
    <row r="738" spans="1:8" s="16" customFormat="1" x14ac:dyDescent="0.25">
      <c r="A738" s="17">
        <v>728</v>
      </c>
      <c r="B738" s="17" t="s">
        <v>12</v>
      </c>
      <c r="C738" s="17" t="s">
        <v>901</v>
      </c>
      <c r="D738" s="18">
        <v>30</v>
      </c>
      <c r="E738" s="18">
        <v>0.26</v>
      </c>
      <c r="F738" s="18">
        <v>0.31</v>
      </c>
      <c r="G738" s="20" t="s">
        <v>902</v>
      </c>
      <c r="H738" s="19" t="str">
        <f>HYPERLINK("https://elefant.by/catalogue/617893707","Посмотреть на сайте ...")</f>
        <v>Посмотреть на сайте ...</v>
      </c>
    </row>
    <row r="739" spans="1:8" s="16" customFormat="1" x14ac:dyDescent="0.25">
      <c r="A739" s="17">
        <v>729</v>
      </c>
      <c r="B739" s="17" t="s">
        <v>12</v>
      </c>
      <c r="C739" s="17" t="s">
        <v>3207</v>
      </c>
      <c r="D739" s="18">
        <v>60</v>
      </c>
      <c r="E739" s="18">
        <v>0.26</v>
      </c>
      <c r="F739" s="18">
        <v>0.31</v>
      </c>
      <c r="G739" s="20" t="s">
        <v>4326</v>
      </c>
      <c r="H739" s="19" t="str">
        <f>HYPERLINK("https://elefant.by/catalogue/598951276","Посмотреть на сайте ...")</f>
        <v>Посмотреть на сайте ...</v>
      </c>
    </row>
    <row r="740" spans="1:8" s="16" customFormat="1" x14ac:dyDescent="0.25">
      <c r="A740" s="17">
        <v>730</v>
      </c>
      <c r="B740" s="17" t="s">
        <v>12</v>
      </c>
      <c r="C740" s="17" t="s">
        <v>903</v>
      </c>
      <c r="D740" s="18">
        <v>60</v>
      </c>
      <c r="E740" s="18">
        <v>0.26</v>
      </c>
      <c r="F740" s="18">
        <v>0.31</v>
      </c>
      <c r="G740" s="20" t="s">
        <v>904</v>
      </c>
      <c r="H740" s="19" t="str">
        <f>HYPERLINK("https://elefant.by/catalogue/617893708","Посмотреть на сайте ...")</f>
        <v>Посмотреть на сайте ...</v>
      </c>
    </row>
    <row r="741" spans="1:8" s="16" customFormat="1" x14ac:dyDescent="0.25">
      <c r="A741" s="17">
        <v>731</v>
      </c>
      <c r="B741" s="17" t="s">
        <v>66</v>
      </c>
      <c r="C741" s="17" t="s">
        <v>905</v>
      </c>
      <c r="D741" s="18">
        <v>12</v>
      </c>
      <c r="E741" s="18">
        <v>0.82</v>
      </c>
      <c r="F741" s="18">
        <v>0.98</v>
      </c>
      <c r="G741" s="20" t="s">
        <v>906</v>
      </c>
      <c r="H741" s="19" t="str">
        <f>HYPERLINK("https://elefant.by/catalogue/149860067","Посмотреть на сайте ...")</f>
        <v>Посмотреть на сайте ...</v>
      </c>
    </row>
    <row r="742" spans="1:8" s="16" customFormat="1" x14ac:dyDescent="0.25">
      <c r="A742" s="17">
        <v>732</v>
      </c>
      <c r="B742" s="17" t="s">
        <v>66</v>
      </c>
      <c r="C742" s="17" t="s">
        <v>3208</v>
      </c>
      <c r="D742" s="18">
        <v>10</v>
      </c>
      <c r="E742" s="18">
        <v>0.59</v>
      </c>
      <c r="F742" s="18">
        <v>0.71</v>
      </c>
      <c r="G742" s="20" t="s">
        <v>4327</v>
      </c>
      <c r="H742" s="19" t="str">
        <f>HYPERLINK("https://elefant.by/catalogue/151289584","Посмотреть на сайте ...")</f>
        <v>Посмотреть на сайте ...</v>
      </c>
    </row>
    <row r="743" spans="1:8" s="16" customFormat="1" x14ac:dyDescent="0.25">
      <c r="A743" s="17">
        <v>733</v>
      </c>
      <c r="B743" s="17" t="s">
        <v>12</v>
      </c>
      <c r="C743" s="17" t="s">
        <v>3209</v>
      </c>
      <c r="D743" s="18">
        <v>10</v>
      </c>
      <c r="E743" s="18">
        <v>0.32</v>
      </c>
      <c r="F743" s="18">
        <v>0.38</v>
      </c>
      <c r="G743" s="20" t="s">
        <v>4328</v>
      </c>
      <c r="H743" s="19" t="str">
        <f>HYPERLINK("https://elefant.by/catalogue/656071493","Посмотреть на сайте ...")</f>
        <v>Посмотреть на сайте ...</v>
      </c>
    </row>
    <row r="744" spans="1:8" s="16" customFormat="1" x14ac:dyDescent="0.25">
      <c r="A744" s="17">
        <v>734</v>
      </c>
      <c r="B744" s="17" t="s">
        <v>12</v>
      </c>
      <c r="C744" s="17" t="s">
        <v>907</v>
      </c>
      <c r="D744" s="18">
        <v>10</v>
      </c>
      <c r="E744" s="18">
        <v>0.32</v>
      </c>
      <c r="F744" s="18">
        <v>0.38</v>
      </c>
      <c r="G744" s="20" t="s">
        <v>908</v>
      </c>
      <c r="H744" s="19" t="str">
        <f>HYPERLINK("https://elefant.by/catalogue/640159780","Посмотреть на сайте ...")</f>
        <v>Посмотреть на сайте ...</v>
      </c>
    </row>
    <row r="745" spans="1:8" s="16" customFormat="1" x14ac:dyDescent="0.25">
      <c r="A745" s="17">
        <v>735</v>
      </c>
      <c r="B745" s="17" t="s">
        <v>12</v>
      </c>
      <c r="C745" s="17" t="s">
        <v>3210</v>
      </c>
      <c r="D745" s="18">
        <v>10</v>
      </c>
      <c r="E745" s="18">
        <v>0.35</v>
      </c>
      <c r="F745" s="18">
        <v>0.42</v>
      </c>
      <c r="G745" s="20" t="s">
        <v>4329</v>
      </c>
      <c r="H745" s="19" t="str">
        <f>HYPERLINK("https://elefant.by/catalogue/656071492","Посмотреть на сайте ...")</f>
        <v>Посмотреть на сайте ...</v>
      </c>
    </row>
    <row r="746" spans="1:8" s="16" customFormat="1" x14ac:dyDescent="0.25">
      <c r="A746" s="17">
        <v>736</v>
      </c>
      <c r="B746" s="17" t="s">
        <v>9</v>
      </c>
      <c r="C746" s="17" t="s">
        <v>909</v>
      </c>
      <c r="D746" s="18">
        <v>45</v>
      </c>
      <c r="E746" s="18">
        <v>0.7</v>
      </c>
      <c r="F746" s="18">
        <v>0.84</v>
      </c>
      <c r="G746" s="20" t="s">
        <v>910</v>
      </c>
      <c r="H746" s="19" t="str">
        <f>HYPERLINK("https://elefant.by/catalogue/474972882","Посмотреть на сайте ...")</f>
        <v>Посмотреть на сайте ...</v>
      </c>
    </row>
    <row r="747" spans="1:8" s="16" customFormat="1" x14ac:dyDescent="0.25">
      <c r="A747" s="17">
        <v>737</v>
      </c>
      <c r="B747" s="17" t="s">
        <v>66</v>
      </c>
      <c r="C747" s="17" t="s">
        <v>911</v>
      </c>
      <c r="D747" s="18">
        <v>12</v>
      </c>
      <c r="E747" s="18">
        <v>1.36</v>
      </c>
      <c r="F747" s="18">
        <v>1.63</v>
      </c>
      <c r="G747" s="20" t="s">
        <v>912</v>
      </c>
      <c r="H747" s="19" t="str">
        <f>HYPERLINK("https://elefant.by/catalogue/176866620","Посмотреть на сайте ...")</f>
        <v>Посмотреть на сайте ...</v>
      </c>
    </row>
    <row r="748" spans="1:8" s="16" customFormat="1" x14ac:dyDescent="0.25">
      <c r="A748" s="17">
        <v>738</v>
      </c>
      <c r="B748" s="17" t="s">
        <v>66</v>
      </c>
      <c r="C748" s="17" t="s">
        <v>913</v>
      </c>
      <c r="D748" s="18">
        <v>20</v>
      </c>
      <c r="E748" s="18">
        <v>1.27</v>
      </c>
      <c r="F748" s="18">
        <v>1.52</v>
      </c>
      <c r="G748" s="20" t="s">
        <v>914</v>
      </c>
      <c r="H748" s="19" t="str">
        <f>HYPERLINK("https://elefant.by/catalogue/148082171","Посмотреть на сайте ...")</f>
        <v>Посмотреть на сайте ...</v>
      </c>
    </row>
    <row r="749" spans="1:8" s="16" customFormat="1" x14ac:dyDescent="0.25">
      <c r="A749" s="17">
        <v>739</v>
      </c>
      <c r="B749" s="17" t="s">
        <v>66</v>
      </c>
      <c r="C749" s="17" t="s">
        <v>915</v>
      </c>
      <c r="D749" s="18">
        <v>8</v>
      </c>
      <c r="E749" s="18">
        <v>2.08</v>
      </c>
      <c r="F749" s="18">
        <v>2.5</v>
      </c>
      <c r="G749" s="20" t="s">
        <v>916</v>
      </c>
      <c r="H749" s="19" t="str">
        <f>HYPERLINK("https://elefant.by/catalogue/148082172","Посмотреть на сайте ...")</f>
        <v>Посмотреть на сайте ...</v>
      </c>
    </row>
    <row r="750" spans="1:8" s="16" customFormat="1" x14ac:dyDescent="0.25">
      <c r="A750" s="17">
        <v>740</v>
      </c>
      <c r="B750" s="17" t="s">
        <v>12</v>
      </c>
      <c r="C750" s="17" t="s">
        <v>917</v>
      </c>
      <c r="D750" s="18">
        <v>50</v>
      </c>
      <c r="E750" s="18">
        <v>1.32</v>
      </c>
      <c r="F750" s="18">
        <v>1.58</v>
      </c>
      <c r="G750" s="20" t="s">
        <v>918</v>
      </c>
      <c r="H750" s="19" t="str">
        <f>HYPERLINK("https://elefant.by/catalogue/582512269","Посмотреть на сайте ...")</f>
        <v>Посмотреть на сайте ...</v>
      </c>
    </row>
    <row r="751" spans="1:8" s="16" customFormat="1" x14ac:dyDescent="0.25">
      <c r="A751" s="17">
        <v>741</v>
      </c>
      <c r="B751" s="17" t="s">
        <v>63</v>
      </c>
      <c r="C751" s="17" t="s">
        <v>919</v>
      </c>
      <c r="D751" s="18">
        <v>100</v>
      </c>
      <c r="E751" s="18">
        <v>0.19</v>
      </c>
      <c r="F751" s="18">
        <v>0.23</v>
      </c>
      <c r="G751" s="20" t="s">
        <v>920</v>
      </c>
      <c r="H751" s="19" t="str">
        <f>HYPERLINK("https://elefant.by/catalogue/588407126","Посмотреть на сайте ...")</f>
        <v>Посмотреть на сайте ...</v>
      </c>
    </row>
    <row r="752" spans="1:8" s="16" customFormat="1" x14ac:dyDescent="0.25">
      <c r="A752" s="17">
        <v>742</v>
      </c>
      <c r="B752" s="17" t="s">
        <v>63</v>
      </c>
      <c r="C752" s="17" t="s">
        <v>921</v>
      </c>
      <c r="D752" s="18">
        <v>100</v>
      </c>
      <c r="E752" s="18">
        <v>0.19</v>
      </c>
      <c r="F752" s="18">
        <v>0.23</v>
      </c>
      <c r="G752" s="20" t="s">
        <v>922</v>
      </c>
      <c r="H752" s="19" t="str">
        <f>HYPERLINK("https://elefant.by/catalogue/588407127","Посмотреть на сайте ...")</f>
        <v>Посмотреть на сайте ...</v>
      </c>
    </row>
    <row r="753" spans="1:8" s="16" customFormat="1" x14ac:dyDescent="0.25">
      <c r="A753" s="17">
        <v>743</v>
      </c>
      <c r="B753" s="17" t="s">
        <v>63</v>
      </c>
      <c r="C753" s="17" t="s">
        <v>923</v>
      </c>
      <c r="D753" s="18">
        <v>100</v>
      </c>
      <c r="E753" s="18">
        <v>0.28000000000000003</v>
      </c>
      <c r="F753" s="18">
        <v>0.34</v>
      </c>
      <c r="G753" s="20" t="s">
        <v>924</v>
      </c>
      <c r="H753" s="19" t="str">
        <f>HYPERLINK("https://elefant.by/catalogue/588407128","Посмотреть на сайте ...")</f>
        <v>Посмотреть на сайте ...</v>
      </c>
    </row>
    <row r="754" spans="1:8" s="16" customFormat="1" x14ac:dyDescent="0.25">
      <c r="A754" s="17">
        <v>744</v>
      </c>
      <c r="B754" s="17" t="s">
        <v>63</v>
      </c>
      <c r="C754" s="17" t="s">
        <v>925</v>
      </c>
      <c r="D754" s="18">
        <v>100</v>
      </c>
      <c r="E754" s="18">
        <v>0.3</v>
      </c>
      <c r="F754" s="18">
        <v>0.36</v>
      </c>
      <c r="G754" s="20" t="s">
        <v>926</v>
      </c>
      <c r="H754" s="19" t="str">
        <f>HYPERLINK("https://elefant.by/catalogue/588424864","Посмотреть на сайте ...")</f>
        <v>Посмотреть на сайте ...</v>
      </c>
    </row>
    <row r="755" spans="1:8" s="16" customFormat="1" x14ac:dyDescent="0.25">
      <c r="A755" s="17">
        <v>745</v>
      </c>
      <c r="B755" s="17" t="s">
        <v>66</v>
      </c>
      <c r="C755" s="17" t="s">
        <v>3211</v>
      </c>
      <c r="D755" s="18">
        <v>20</v>
      </c>
      <c r="E755" s="18">
        <v>0.7</v>
      </c>
      <c r="F755" s="18">
        <v>0.84</v>
      </c>
      <c r="G755" s="20" t="s">
        <v>4330</v>
      </c>
      <c r="H755" s="19" t="str">
        <f>HYPERLINK("https://elefant.by/catalogue/548296699","Посмотреть на сайте ...")</f>
        <v>Посмотреть на сайте ...</v>
      </c>
    </row>
    <row r="756" spans="1:8" s="16" customFormat="1" x14ac:dyDescent="0.25">
      <c r="A756" s="17">
        <v>746</v>
      </c>
      <c r="B756" s="17" t="s">
        <v>12</v>
      </c>
      <c r="C756" s="17" t="s">
        <v>3212</v>
      </c>
      <c r="D756" s="18">
        <v>12</v>
      </c>
      <c r="E756" s="18">
        <v>4.4400000000000004</v>
      </c>
      <c r="F756" s="18">
        <v>5.33</v>
      </c>
      <c r="G756" s="20" t="s">
        <v>4331</v>
      </c>
      <c r="H756" s="19" t="str">
        <f>HYPERLINK("https://elefant.by/catalogue/692798858","Посмотреть на сайте ...")</f>
        <v>Посмотреть на сайте ...</v>
      </c>
    </row>
    <row r="757" spans="1:8" s="16" customFormat="1" x14ac:dyDescent="0.25">
      <c r="A757" s="17">
        <v>747</v>
      </c>
      <c r="B757" s="17" t="s">
        <v>12</v>
      </c>
      <c r="C757" s="17" t="s">
        <v>927</v>
      </c>
      <c r="D757" s="18">
        <v>12</v>
      </c>
      <c r="E757" s="18">
        <v>0.33</v>
      </c>
      <c r="F757" s="18">
        <v>0.4</v>
      </c>
      <c r="G757" s="20" t="s">
        <v>928</v>
      </c>
      <c r="H757" s="19" t="str">
        <f>HYPERLINK("https://elefant.by/catalogue/450945201","Посмотреть на сайте ...")</f>
        <v>Посмотреть на сайте ...</v>
      </c>
    </row>
    <row r="758" spans="1:8" s="16" customFormat="1" x14ac:dyDescent="0.25">
      <c r="A758" s="17">
        <v>748</v>
      </c>
      <c r="B758" s="17" t="s">
        <v>12</v>
      </c>
      <c r="C758" s="17" t="s">
        <v>929</v>
      </c>
      <c r="D758" s="18">
        <v>12</v>
      </c>
      <c r="E758" s="18">
        <v>0.59</v>
      </c>
      <c r="F758" s="18">
        <v>0.71</v>
      </c>
      <c r="G758" s="20" t="s">
        <v>930</v>
      </c>
      <c r="H758" s="19" t="str">
        <f>HYPERLINK("https://elefant.by/catalogue/450945202","Посмотреть на сайте ...")</f>
        <v>Посмотреть на сайте ...</v>
      </c>
    </row>
    <row r="759" spans="1:8" s="16" customFormat="1" x14ac:dyDescent="0.25">
      <c r="A759" s="17">
        <v>749</v>
      </c>
      <c r="B759" s="17" t="s">
        <v>12</v>
      </c>
      <c r="C759" s="17" t="s">
        <v>931</v>
      </c>
      <c r="D759" s="18">
        <v>12</v>
      </c>
      <c r="E759" s="18">
        <v>0.79</v>
      </c>
      <c r="F759" s="18">
        <v>0.95</v>
      </c>
      <c r="G759" s="20" t="s">
        <v>932</v>
      </c>
      <c r="H759" s="19" t="str">
        <f>HYPERLINK("https://elefant.by/catalogue/450945203","Посмотреть на сайте ...")</f>
        <v>Посмотреть на сайте ...</v>
      </c>
    </row>
    <row r="760" spans="1:8" s="16" customFormat="1" x14ac:dyDescent="0.25">
      <c r="A760" s="17">
        <v>750</v>
      </c>
      <c r="B760" s="17" t="s">
        <v>12</v>
      </c>
      <c r="C760" s="17" t="s">
        <v>933</v>
      </c>
      <c r="D760" s="18">
        <v>12</v>
      </c>
      <c r="E760" s="18">
        <v>1.18</v>
      </c>
      <c r="F760" s="18">
        <v>1.42</v>
      </c>
      <c r="G760" s="20" t="s">
        <v>934</v>
      </c>
      <c r="H760" s="19" t="str">
        <f>HYPERLINK("https://elefant.by/catalogue/450945204","Посмотреть на сайте ...")</f>
        <v>Посмотреть на сайте ...</v>
      </c>
    </row>
    <row r="761" spans="1:8" s="16" customFormat="1" x14ac:dyDescent="0.25">
      <c r="A761" s="17">
        <v>751</v>
      </c>
      <c r="B761" s="17" t="s">
        <v>66</v>
      </c>
      <c r="C761" s="17" t="s">
        <v>935</v>
      </c>
      <c r="D761" s="18">
        <v>20</v>
      </c>
      <c r="E761" s="18">
        <v>0.59</v>
      </c>
      <c r="F761" s="18">
        <v>0.71</v>
      </c>
      <c r="G761" s="20" t="s">
        <v>936</v>
      </c>
      <c r="H761" s="19" t="str">
        <f>HYPERLINK("https://elefant.by/catalogue/153842069","Посмотреть на сайте ...")</f>
        <v>Посмотреть на сайте ...</v>
      </c>
    </row>
    <row r="762" spans="1:8" s="16" customFormat="1" x14ac:dyDescent="0.25">
      <c r="A762" s="17">
        <v>752</v>
      </c>
      <c r="B762" s="17" t="s">
        <v>66</v>
      </c>
      <c r="C762" s="17" t="s">
        <v>937</v>
      </c>
      <c r="D762" s="18">
        <v>10</v>
      </c>
      <c r="E762" s="18">
        <v>1.48</v>
      </c>
      <c r="F762" s="18">
        <v>1.78</v>
      </c>
      <c r="G762" s="20" t="s">
        <v>938</v>
      </c>
      <c r="H762" s="19" t="str">
        <f>HYPERLINK("https://elefant.by/catalogue/149501398","Посмотреть на сайте ...")</f>
        <v>Посмотреть на сайте ...</v>
      </c>
    </row>
    <row r="763" spans="1:8" s="16" customFormat="1" x14ac:dyDescent="0.25">
      <c r="A763" s="17">
        <v>753</v>
      </c>
      <c r="B763" s="17" t="s">
        <v>66</v>
      </c>
      <c r="C763" s="17" t="s">
        <v>939</v>
      </c>
      <c r="D763" s="18">
        <v>21</v>
      </c>
      <c r="E763" s="18">
        <v>5.18</v>
      </c>
      <c r="F763" s="18">
        <v>6.22</v>
      </c>
      <c r="G763" s="20" t="s">
        <v>940</v>
      </c>
      <c r="H763" s="19" t="str">
        <f>HYPERLINK("https://elefant.by/catalogue/149756905","Посмотреть на сайте ...")</f>
        <v>Посмотреть на сайте ...</v>
      </c>
    </row>
    <row r="764" spans="1:8" s="16" customFormat="1" x14ac:dyDescent="0.25">
      <c r="A764" s="17">
        <v>754</v>
      </c>
      <c r="B764" s="17" t="s">
        <v>66</v>
      </c>
      <c r="C764" s="17" t="s">
        <v>941</v>
      </c>
      <c r="D764" s="18">
        <v>10</v>
      </c>
      <c r="E764" s="18">
        <v>1.86</v>
      </c>
      <c r="F764" s="18">
        <v>2.23</v>
      </c>
      <c r="G764" s="20" t="s">
        <v>942</v>
      </c>
      <c r="H764" s="19" t="str">
        <f>HYPERLINK("https://elefant.by/catalogue/149501399","Посмотреть на сайте ...")</f>
        <v>Посмотреть на сайте ...</v>
      </c>
    </row>
    <row r="765" spans="1:8" s="16" customFormat="1" x14ac:dyDescent="0.25">
      <c r="A765" s="17">
        <v>755</v>
      </c>
      <c r="B765" s="17" t="s">
        <v>66</v>
      </c>
      <c r="C765" s="17" t="s">
        <v>943</v>
      </c>
      <c r="D765" s="18">
        <v>24</v>
      </c>
      <c r="E765" s="18">
        <v>7.04</v>
      </c>
      <c r="F765" s="18">
        <v>8.4499999999999993</v>
      </c>
      <c r="G765" s="20" t="s">
        <v>944</v>
      </c>
      <c r="H765" s="19" t="str">
        <f>HYPERLINK("https://elefant.by/catalogue/149756912","Посмотреть на сайте ...")</f>
        <v>Посмотреть на сайте ...</v>
      </c>
    </row>
    <row r="766" spans="1:8" s="16" customFormat="1" x14ac:dyDescent="0.25">
      <c r="A766" s="17">
        <v>756</v>
      </c>
      <c r="B766" s="17" t="s">
        <v>66</v>
      </c>
      <c r="C766" s="17" t="s">
        <v>945</v>
      </c>
      <c r="D766" s="18">
        <v>30</v>
      </c>
      <c r="E766" s="18">
        <v>3</v>
      </c>
      <c r="F766" s="18">
        <v>3.6</v>
      </c>
      <c r="G766" s="20" t="s">
        <v>946</v>
      </c>
      <c r="H766" s="19" t="str">
        <f>HYPERLINK("https://elefant.by/catalogue/148584759","Посмотреть на сайте ...")</f>
        <v>Посмотреть на сайте ...</v>
      </c>
    </row>
    <row r="767" spans="1:8" s="16" customFormat="1" x14ac:dyDescent="0.25">
      <c r="A767" s="17">
        <v>757</v>
      </c>
      <c r="B767" s="17" t="s">
        <v>66</v>
      </c>
      <c r="C767" s="17" t="s">
        <v>947</v>
      </c>
      <c r="D767" s="18">
        <v>8</v>
      </c>
      <c r="E767" s="18">
        <v>13.73</v>
      </c>
      <c r="F767" s="18">
        <v>16.48</v>
      </c>
      <c r="G767" s="20" t="s">
        <v>948</v>
      </c>
      <c r="H767" s="19" t="str">
        <f>HYPERLINK("https://elefant.by/catalogue/148582898","Посмотреть на сайте ...")</f>
        <v>Посмотреть на сайте ...</v>
      </c>
    </row>
    <row r="768" spans="1:8" s="16" customFormat="1" x14ac:dyDescent="0.25">
      <c r="A768" s="17">
        <v>758</v>
      </c>
      <c r="B768" s="17" t="s">
        <v>66</v>
      </c>
      <c r="C768" s="17" t="s">
        <v>949</v>
      </c>
      <c r="D768" s="18">
        <v>4</v>
      </c>
      <c r="E768" s="18">
        <v>23.25</v>
      </c>
      <c r="F768" s="18">
        <v>27.9</v>
      </c>
      <c r="G768" s="20" t="s">
        <v>950</v>
      </c>
      <c r="H768" s="19" t="str">
        <f>HYPERLINK("https://elefant.by/catalogue/148585197","Посмотреть на сайте ...")</f>
        <v>Посмотреть на сайте ...</v>
      </c>
    </row>
    <row r="769" spans="1:8" s="16" customFormat="1" x14ac:dyDescent="0.25">
      <c r="A769" s="17">
        <v>759</v>
      </c>
      <c r="B769" s="17" t="s">
        <v>66</v>
      </c>
      <c r="C769" s="17" t="s">
        <v>3213</v>
      </c>
      <c r="D769" s="18">
        <v>12</v>
      </c>
      <c r="E769" s="18">
        <v>5.03</v>
      </c>
      <c r="F769" s="18">
        <v>6.04</v>
      </c>
      <c r="G769" s="20" t="s">
        <v>4332</v>
      </c>
      <c r="H769" s="19" t="str">
        <f>HYPERLINK("https://elefant.by/catalogue/337690544","Посмотреть на сайте ...")</f>
        <v>Посмотреть на сайте ...</v>
      </c>
    </row>
    <row r="770" spans="1:8" s="16" customFormat="1" x14ac:dyDescent="0.25">
      <c r="A770" s="17">
        <v>760</v>
      </c>
      <c r="B770" s="17" t="s">
        <v>66</v>
      </c>
      <c r="C770" s="17" t="s">
        <v>951</v>
      </c>
      <c r="D770" s="18">
        <v>12</v>
      </c>
      <c r="E770" s="18">
        <v>5.03</v>
      </c>
      <c r="F770" s="18">
        <v>6.04</v>
      </c>
      <c r="G770" s="20" t="s">
        <v>952</v>
      </c>
      <c r="H770" s="19" t="str">
        <f>HYPERLINK("https://elefant.by/catalogue/187679945","Посмотреть на сайте ...")</f>
        <v>Посмотреть на сайте ...</v>
      </c>
    </row>
    <row r="771" spans="1:8" s="16" customFormat="1" x14ac:dyDescent="0.25">
      <c r="A771" s="17">
        <v>761</v>
      </c>
      <c r="B771" s="17" t="s">
        <v>66</v>
      </c>
      <c r="C771" s="17" t="s">
        <v>953</v>
      </c>
      <c r="D771" s="18">
        <v>14</v>
      </c>
      <c r="E771" s="18">
        <v>7.87</v>
      </c>
      <c r="F771" s="18">
        <v>9.44</v>
      </c>
      <c r="G771" s="20" t="s">
        <v>954</v>
      </c>
      <c r="H771" s="19" t="str">
        <f>HYPERLINK("https://elefant.by/catalogue/149500626","Посмотреть на сайте ...")</f>
        <v>Посмотреть на сайте ...</v>
      </c>
    </row>
    <row r="772" spans="1:8" s="16" customFormat="1" x14ac:dyDescent="0.25">
      <c r="A772" s="17">
        <v>762</v>
      </c>
      <c r="B772" s="17" t="s">
        <v>66</v>
      </c>
      <c r="C772" s="17" t="s">
        <v>955</v>
      </c>
      <c r="D772" s="18">
        <v>14</v>
      </c>
      <c r="E772" s="18">
        <v>7.87</v>
      </c>
      <c r="F772" s="18">
        <v>9.44</v>
      </c>
      <c r="G772" s="20" t="s">
        <v>956</v>
      </c>
      <c r="H772" s="19" t="str">
        <f>HYPERLINK("https://elefant.by/catalogue/148654464","Посмотреть на сайте ...")</f>
        <v>Посмотреть на сайте ...</v>
      </c>
    </row>
    <row r="773" spans="1:8" s="16" customFormat="1" x14ac:dyDescent="0.25">
      <c r="A773" s="17">
        <v>763</v>
      </c>
      <c r="B773" s="17" t="s">
        <v>66</v>
      </c>
      <c r="C773" s="17" t="s">
        <v>957</v>
      </c>
      <c r="D773" s="18">
        <v>12</v>
      </c>
      <c r="E773" s="18">
        <v>9.3800000000000008</v>
      </c>
      <c r="F773" s="18">
        <v>11.26</v>
      </c>
      <c r="G773" s="20" t="s">
        <v>958</v>
      </c>
      <c r="H773" s="19" t="str">
        <f>HYPERLINK("https://elefant.by/catalogue/148654463","Посмотреть на сайте ...")</f>
        <v>Посмотреть на сайте ...</v>
      </c>
    </row>
    <row r="774" spans="1:8" s="16" customFormat="1" x14ac:dyDescent="0.25">
      <c r="A774" s="17">
        <v>764</v>
      </c>
      <c r="B774" s="17" t="s">
        <v>66</v>
      </c>
      <c r="C774" s="17" t="s">
        <v>3214</v>
      </c>
      <c r="D774" s="18">
        <v>10</v>
      </c>
      <c r="E774" s="18">
        <v>10.199999999999999</v>
      </c>
      <c r="F774" s="18">
        <v>12.24</v>
      </c>
      <c r="G774" s="20" t="s">
        <v>4333</v>
      </c>
      <c r="H774" s="19" t="str">
        <f>HYPERLINK("https://elefant.by/catalogue/150381808","Посмотреть на сайте ...")</f>
        <v>Посмотреть на сайте ...</v>
      </c>
    </row>
    <row r="775" spans="1:8" s="16" customFormat="1" x14ac:dyDescent="0.25">
      <c r="A775" s="17">
        <v>765</v>
      </c>
      <c r="B775" s="17" t="s">
        <v>66</v>
      </c>
      <c r="C775" s="17" t="s">
        <v>959</v>
      </c>
      <c r="D775" s="18">
        <v>10</v>
      </c>
      <c r="E775" s="18">
        <v>10.199999999999999</v>
      </c>
      <c r="F775" s="18">
        <v>12.24</v>
      </c>
      <c r="G775" s="20" t="s">
        <v>960</v>
      </c>
      <c r="H775" s="19" t="str">
        <f>HYPERLINK("https://elefant.by/catalogue/148654461","Посмотреть на сайте ...")</f>
        <v>Посмотреть на сайте ...</v>
      </c>
    </row>
    <row r="776" spans="1:8" s="16" customFormat="1" x14ac:dyDescent="0.25">
      <c r="A776" s="17">
        <v>766</v>
      </c>
      <c r="B776" s="17" t="s">
        <v>12</v>
      </c>
      <c r="C776" s="17" t="s">
        <v>961</v>
      </c>
      <c r="D776" s="18">
        <v>6</v>
      </c>
      <c r="E776" s="18">
        <v>13.11</v>
      </c>
      <c r="F776" s="18">
        <v>15.73</v>
      </c>
      <c r="G776" s="20" t="s">
        <v>962</v>
      </c>
      <c r="H776" s="19" t="str">
        <f>HYPERLINK("https://elefant.by/catalogue/622414895","Посмотреть на сайте ...")</f>
        <v>Посмотреть на сайте ...</v>
      </c>
    </row>
    <row r="777" spans="1:8" s="16" customFormat="1" x14ac:dyDescent="0.25">
      <c r="A777" s="17">
        <v>767</v>
      </c>
      <c r="B777" s="17" t="s">
        <v>17</v>
      </c>
      <c r="C777" s="17" t="s">
        <v>3215</v>
      </c>
      <c r="D777" s="18">
        <v>4</v>
      </c>
      <c r="E777" s="18">
        <v>3.93</v>
      </c>
      <c r="F777" s="18">
        <v>4.72</v>
      </c>
      <c r="G777" s="20" t="s">
        <v>4334</v>
      </c>
      <c r="H777" s="19" t="str">
        <f>HYPERLINK("https://elefant.by/catalogue/698858834","Посмотреть на сайте ...")</f>
        <v>Посмотреть на сайте ...</v>
      </c>
    </row>
    <row r="778" spans="1:8" s="16" customFormat="1" x14ac:dyDescent="0.25">
      <c r="A778" s="17">
        <v>768</v>
      </c>
      <c r="B778" s="17" t="s">
        <v>17</v>
      </c>
      <c r="C778" s="17" t="s">
        <v>3216</v>
      </c>
      <c r="D778" s="18">
        <v>4</v>
      </c>
      <c r="E778" s="18">
        <v>3.93</v>
      </c>
      <c r="F778" s="18">
        <v>4.72</v>
      </c>
      <c r="G778" s="20" t="s">
        <v>4335</v>
      </c>
      <c r="H778" s="19" t="str">
        <f>HYPERLINK("https://elefant.by/catalogue/696237625","Посмотреть на сайте ...")</f>
        <v>Посмотреть на сайте ...</v>
      </c>
    </row>
    <row r="779" spans="1:8" s="16" customFormat="1" x14ac:dyDescent="0.25">
      <c r="A779" s="17">
        <v>769</v>
      </c>
      <c r="B779" s="17" t="s">
        <v>17</v>
      </c>
      <c r="C779" s="17" t="s">
        <v>3217</v>
      </c>
      <c r="D779" s="18">
        <v>4</v>
      </c>
      <c r="E779" s="18">
        <v>3.93</v>
      </c>
      <c r="F779" s="18">
        <v>4.72</v>
      </c>
      <c r="G779" s="20" t="s">
        <v>4336</v>
      </c>
      <c r="H779" s="19" t="str">
        <f>HYPERLINK("https://elefant.by/catalogue/696237626","Посмотреть на сайте ...")</f>
        <v>Посмотреть на сайте ...</v>
      </c>
    </row>
    <row r="780" spans="1:8" s="16" customFormat="1" x14ac:dyDescent="0.25">
      <c r="A780" s="17">
        <v>770</v>
      </c>
      <c r="B780" s="17" t="s">
        <v>17</v>
      </c>
      <c r="C780" s="17" t="s">
        <v>3218</v>
      </c>
      <c r="D780" s="18">
        <v>4</v>
      </c>
      <c r="E780" s="18">
        <v>3.93</v>
      </c>
      <c r="F780" s="18">
        <v>4.72</v>
      </c>
      <c r="G780" s="20" t="s">
        <v>4337</v>
      </c>
      <c r="H780" s="19" t="str">
        <f>HYPERLINK("https://elefant.by/catalogue/696237627","Посмотреть на сайте ...")</f>
        <v>Посмотреть на сайте ...</v>
      </c>
    </row>
    <row r="781" spans="1:8" s="16" customFormat="1" x14ac:dyDescent="0.25">
      <c r="A781" s="17">
        <v>771</v>
      </c>
      <c r="B781" s="17" t="s">
        <v>17</v>
      </c>
      <c r="C781" s="17" t="s">
        <v>963</v>
      </c>
      <c r="D781" s="18">
        <v>4</v>
      </c>
      <c r="E781" s="18">
        <v>3.82</v>
      </c>
      <c r="F781" s="18">
        <v>4.58</v>
      </c>
      <c r="G781" s="20" t="s">
        <v>964</v>
      </c>
      <c r="H781" s="19" t="str">
        <f>HYPERLINK("https://elefant.by/catalogue/618016273","Посмотреть на сайте ...")</f>
        <v>Посмотреть на сайте ...</v>
      </c>
    </row>
    <row r="782" spans="1:8" s="16" customFormat="1" x14ac:dyDescent="0.25">
      <c r="A782" s="17">
        <v>772</v>
      </c>
      <c r="B782" s="17" t="s">
        <v>17</v>
      </c>
      <c r="C782" s="17" t="s">
        <v>965</v>
      </c>
      <c r="D782" s="18">
        <v>5</v>
      </c>
      <c r="E782" s="18">
        <v>3.82</v>
      </c>
      <c r="F782" s="18">
        <v>4.58</v>
      </c>
      <c r="G782" s="20" t="s">
        <v>966</v>
      </c>
      <c r="H782" s="19" t="str">
        <f>HYPERLINK("https://elefant.by/catalogue/544597150","Посмотреть на сайте ...")</f>
        <v>Посмотреть на сайте ...</v>
      </c>
    </row>
    <row r="783" spans="1:8" s="16" customFormat="1" x14ac:dyDescent="0.25">
      <c r="A783" s="17">
        <v>773</v>
      </c>
      <c r="B783" s="17" t="s">
        <v>17</v>
      </c>
      <c r="C783" s="17" t="s">
        <v>3219</v>
      </c>
      <c r="D783" s="18">
        <v>5</v>
      </c>
      <c r="E783" s="18">
        <v>3.82</v>
      </c>
      <c r="F783" s="18">
        <v>4.58</v>
      </c>
      <c r="G783" s="20" t="s">
        <v>4338</v>
      </c>
      <c r="H783" s="19" t="str">
        <f>HYPERLINK("https://elefant.by/catalogue/554820175","Посмотреть на сайте ...")</f>
        <v>Посмотреть на сайте ...</v>
      </c>
    </row>
    <row r="784" spans="1:8" s="16" customFormat="1" x14ac:dyDescent="0.25">
      <c r="A784" s="17">
        <v>774</v>
      </c>
      <c r="B784" s="17" t="s">
        <v>17</v>
      </c>
      <c r="C784" s="17" t="s">
        <v>3220</v>
      </c>
      <c r="D784" s="18">
        <v>4</v>
      </c>
      <c r="E784" s="18">
        <v>3.82</v>
      </c>
      <c r="F784" s="18">
        <v>4.58</v>
      </c>
      <c r="G784" s="20" t="s">
        <v>4339</v>
      </c>
      <c r="H784" s="19" t="str">
        <f>HYPERLINK("https://elefant.by/catalogue/544597149","Посмотреть на сайте ...")</f>
        <v>Посмотреть на сайте ...</v>
      </c>
    </row>
    <row r="785" spans="1:8" s="16" customFormat="1" x14ac:dyDescent="0.25">
      <c r="A785" s="17">
        <v>775</v>
      </c>
      <c r="B785" s="17" t="s">
        <v>9</v>
      </c>
      <c r="C785" s="17" t="s">
        <v>967</v>
      </c>
      <c r="D785" s="18">
        <v>2</v>
      </c>
      <c r="E785" s="18">
        <v>5.34</v>
      </c>
      <c r="F785" s="18">
        <v>6.41</v>
      </c>
      <c r="G785" s="20" t="s">
        <v>968</v>
      </c>
      <c r="H785" s="19" t="str">
        <f>HYPERLINK("https://elefant.by/catalogue/154668770","Посмотреть на сайте ...")</f>
        <v>Посмотреть на сайте ...</v>
      </c>
    </row>
    <row r="786" spans="1:8" s="16" customFormat="1" x14ac:dyDescent="0.25">
      <c r="A786" s="17">
        <v>776</v>
      </c>
      <c r="B786" s="17" t="s">
        <v>9</v>
      </c>
      <c r="C786" s="17" t="s">
        <v>969</v>
      </c>
      <c r="D786" s="18">
        <v>2</v>
      </c>
      <c r="E786" s="18">
        <v>5.33</v>
      </c>
      <c r="F786" s="18">
        <v>6.4</v>
      </c>
      <c r="G786" s="20" t="s">
        <v>970</v>
      </c>
      <c r="H786" s="19" t="str">
        <f>HYPERLINK("https://elefant.by/catalogue/154857675","Посмотреть на сайте ...")</f>
        <v>Посмотреть на сайте ...</v>
      </c>
    </row>
    <row r="787" spans="1:8" s="16" customFormat="1" x14ac:dyDescent="0.25">
      <c r="A787" s="17">
        <v>777</v>
      </c>
      <c r="B787" s="17" t="s">
        <v>66</v>
      </c>
      <c r="C787" s="17" t="s">
        <v>3221</v>
      </c>
      <c r="D787" s="18">
        <v>8</v>
      </c>
      <c r="E787" s="18">
        <v>3.08</v>
      </c>
      <c r="F787" s="18">
        <v>3.7</v>
      </c>
      <c r="G787" s="20" t="s">
        <v>4340</v>
      </c>
      <c r="H787" s="19" t="str">
        <f>HYPERLINK("https://elefant.by/catalogue/617407420","Посмотреть на сайте ...")</f>
        <v>Посмотреть на сайте ...</v>
      </c>
    </row>
    <row r="788" spans="1:8" s="16" customFormat="1" x14ac:dyDescent="0.25">
      <c r="A788" s="17">
        <v>778</v>
      </c>
      <c r="B788" s="17" t="s">
        <v>66</v>
      </c>
      <c r="C788" s="17" t="s">
        <v>971</v>
      </c>
      <c r="D788" s="18">
        <v>8</v>
      </c>
      <c r="E788" s="18">
        <v>2.33</v>
      </c>
      <c r="F788" s="18">
        <v>2.8</v>
      </c>
      <c r="G788" s="20" t="s">
        <v>972</v>
      </c>
      <c r="H788" s="19" t="str">
        <f>HYPERLINK("https://elefant.by/catalogue/484102634","Посмотреть на сайте ...")</f>
        <v>Посмотреть на сайте ...</v>
      </c>
    </row>
    <row r="789" spans="1:8" s="16" customFormat="1" x14ac:dyDescent="0.25">
      <c r="A789" s="17">
        <v>779</v>
      </c>
      <c r="B789" s="17" t="s">
        <v>66</v>
      </c>
      <c r="C789" s="17" t="s">
        <v>973</v>
      </c>
      <c r="D789" s="18">
        <v>12</v>
      </c>
      <c r="E789" s="18">
        <v>4.7300000000000004</v>
      </c>
      <c r="F789" s="18">
        <v>5.68</v>
      </c>
      <c r="G789" s="20" t="s">
        <v>974</v>
      </c>
      <c r="H789" s="19" t="str">
        <f>HYPERLINK("https://elefant.by/catalogue/630007304","Посмотреть на сайте ...")</f>
        <v>Посмотреть на сайте ...</v>
      </c>
    </row>
    <row r="790" spans="1:8" s="16" customFormat="1" x14ac:dyDescent="0.25">
      <c r="A790" s="17">
        <v>780</v>
      </c>
      <c r="B790" s="17" t="s">
        <v>66</v>
      </c>
      <c r="C790" s="17" t="s">
        <v>975</v>
      </c>
      <c r="D790" s="18">
        <v>12</v>
      </c>
      <c r="E790" s="18">
        <v>4.7300000000000004</v>
      </c>
      <c r="F790" s="18">
        <v>5.68</v>
      </c>
      <c r="G790" s="20" t="s">
        <v>4341</v>
      </c>
      <c r="H790" s="19" t="str">
        <f>HYPERLINK("https://elefant.by/catalogue/624963596","Посмотреть на сайте ...")</f>
        <v>Посмотреть на сайте ...</v>
      </c>
    </row>
    <row r="791" spans="1:8" s="16" customFormat="1" x14ac:dyDescent="0.25">
      <c r="A791" s="17">
        <v>781</v>
      </c>
      <c r="B791" s="17" t="s">
        <v>66</v>
      </c>
      <c r="C791" s="17" t="s">
        <v>3222</v>
      </c>
      <c r="D791" s="18">
        <v>14</v>
      </c>
      <c r="E791" s="18">
        <v>3.62</v>
      </c>
      <c r="F791" s="18">
        <v>4.34</v>
      </c>
      <c r="G791" s="20" t="s">
        <v>4342</v>
      </c>
      <c r="H791" s="19" t="str">
        <f>HYPERLINK("https://elefant.by/catalogue/454937902","Посмотреть на сайте ...")</f>
        <v>Посмотреть на сайте ...</v>
      </c>
    </row>
    <row r="792" spans="1:8" s="16" customFormat="1" x14ac:dyDescent="0.25">
      <c r="A792" s="17">
        <v>782</v>
      </c>
      <c r="B792" s="17" t="s">
        <v>66</v>
      </c>
      <c r="C792" s="17" t="s">
        <v>976</v>
      </c>
      <c r="D792" s="18">
        <v>8</v>
      </c>
      <c r="E792" s="18">
        <v>3.62</v>
      </c>
      <c r="F792" s="18">
        <v>4.34</v>
      </c>
      <c r="G792" s="20" t="s">
        <v>977</v>
      </c>
      <c r="H792" s="19" t="str">
        <f>HYPERLINK("https://elefant.by/catalogue/175549743","Посмотреть на сайте ...")</f>
        <v>Посмотреть на сайте ...</v>
      </c>
    </row>
    <row r="793" spans="1:8" s="16" customFormat="1" x14ac:dyDescent="0.25">
      <c r="A793" s="17">
        <v>783</v>
      </c>
      <c r="B793" s="17" t="s">
        <v>66</v>
      </c>
      <c r="C793" s="17" t="s">
        <v>978</v>
      </c>
      <c r="D793" s="18">
        <v>8</v>
      </c>
      <c r="E793" s="18">
        <v>3.62</v>
      </c>
      <c r="F793" s="18">
        <v>4.34</v>
      </c>
      <c r="G793" s="20" t="s">
        <v>979</v>
      </c>
      <c r="H793" s="19" t="str">
        <f>HYPERLINK("https://elefant.by/catalogue/175549742","Посмотреть на сайте ...")</f>
        <v>Посмотреть на сайте ...</v>
      </c>
    </row>
    <row r="794" spans="1:8" s="16" customFormat="1" x14ac:dyDescent="0.25">
      <c r="A794" s="17">
        <v>784</v>
      </c>
      <c r="B794" s="17" t="s">
        <v>66</v>
      </c>
      <c r="C794" s="17" t="s">
        <v>3223</v>
      </c>
      <c r="D794" s="18">
        <v>8</v>
      </c>
      <c r="E794" s="18">
        <v>3.62</v>
      </c>
      <c r="F794" s="18">
        <v>4.34</v>
      </c>
      <c r="G794" s="20" t="s">
        <v>4343</v>
      </c>
      <c r="H794" s="19" t="str">
        <f>HYPERLINK("https://elefant.by/catalogue/178909686","Посмотреть на сайте ...")</f>
        <v>Посмотреть на сайте ...</v>
      </c>
    </row>
    <row r="795" spans="1:8" s="16" customFormat="1" x14ac:dyDescent="0.25">
      <c r="A795" s="17">
        <v>785</v>
      </c>
      <c r="B795" s="17" t="s">
        <v>66</v>
      </c>
      <c r="C795" s="17" t="s">
        <v>980</v>
      </c>
      <c r="D795" s="18">
        <v>14</v>
      </c>
      <c r="E795" s="18">
        <v>3.62</v>
      </c>
      <c r="F795" s="18">
        <v>4.34</v>
      </c>
      <c r="G795" s="20" t="s">
        <v>981</v>
      </c>
      <c r="H795" s="19" t="str">
        <f>HYPERLINK("https://elefant.by/catalogue/175549740","Посмотреть на сайте ...")</f>
        <v>Посмотреть на сайте ...</v>
      </c>
    </row>
    <row r="796" spans="1:8" s="16" customFormat="1" x14ac:dyDescent="0.25">
      <c r="A796" s="17">
        <v>786</v>
      </c>
      <c r="B796" s="17" t="s">
        <v>66</v>
      </c>
      <c r="C796" s="17" t="s">
        <v>982</v>
      </c>
      <c r="D796" s="18">
        <v>14</v>
      </c>
      <c r="E796" s="18">
        <v>3.62</v>
      </c>
      <c r="F796" s="18">
        <v>4.34</v>
      </c>
      <c r="G796" s="20" t="s">
        <v>983</v>
      </c>
      <c r="H796" s="19" t="str">
        <f>HYPERLINK("https://elefant.by/catalogue/175752900","Посмотреть на сайте ...")</f>
        <v>Посмотреть на сайте ...</v>
      </c>
    </row>
    <row r="797" spans="1:8" s="16" customFormat="1" x14ac:dyDescent="0.25">
      <c r="A797" s="17">
        <v>787</v>
      </c>
      <c r="B797" s="17" t="s">
        <v>66</v>
      </c>
      <c r="C797" s="17" t="s">
        <v>3224</v>
      </c>
      <c r="D797" s="18">
        <v>8</v>
      </c>
      <c r="E797" s="18">
        <v>4.43</v>
      </c>
      <c r="F797" s="18">
        <v>5.32</v>
      </c>
      <c r="G797" s="20" t="s">
        <v>4344</v>
      </c>
      <c r="H797" s="19" t="str">
        <f>HYPERLINK("https://elefant.by/catalogue/513606410","Посмотреть на сайте ...")</f>
        <v>Посмотреть на сайте ...</v>
      </c>
    </row>
    <row r="798" spans="1:8" s="16" customFormat="1" x14ac:dyDescent="0.25">
      <c r="A798" s="17">
        <v>788</v>
      </c>
      <c r="B798" s="17" t="s">
        <v>66</v>
      </c>
      <c r="C798" s="17" t="s">
        <v>3225</v>
      </c>
      <c r="D798" s="18">
        <v>8</v>
      </c>
      <c r="E798" s="18">
        <v>4.43</v>
      </c>
      <c r="F798" s="18">
        <v>5.32</v>
      </c>
      <c r="G798" s="20" t="s">
        <v>4345</v>
      </c>
      <c r="H798" s="19" t="str">
        <f>HYPERLINK("https://elefant.by/catalogue/513606411","Посмотреть на сайте ...")</f>
        <v>Посмотреть на сайте ...</v>
      </c>
    </row>
    <row r="799" spans="1:8" s="16" customFormat="1" x14ac:dyDescent="0.25">
      <c r="A799" s="17">
        <v>789</v>
      </c>
      <c r="B799" s="17" t="s">
        <v>66</v>
      </c>
      <c r="C799" s="17" t="s">
        <v>3226</v>
      </c>
      <c r="D799" s="18">
        <v>8</v>
      </c>
      <c r="E799" s="18">
        <v>4.43</v>
      </c>
      <c r="F799" s="18">
        <v>5.32</v>
      </c>
      <c r="G799" s="20" t="s">
        <v>4346</v>
      </c>
      <c r="H799" s="19" t="str">
        <f>HYPERLINK("https://elefant.by/catalogue/513606412","Посмотреть на сайте ...")</f>
        <v>Посмотреть на сайте ...</v>
      </c>
    </row>
    <row r="800" spans="1:8" s="16" customFormat="1" x14ac:dyDescent="0.25">
      <c r="A800" s="17">
        <v>790</v>
      </c>
      <c r="B800" s="17" t="s">
        <v>66</v>
      </c>
      <c r="C800" s="17" t="s">
        <v>3227</v>
      </c>
      <c r="D800" s="18">
        <v>8</v>
      </c>
      <c r="E800" s="18">
        <v>4.43</v>
      </c>
      <c r="F800" s="18">
        <v>5.32</v>
      </c>
      <c r="G800" s="20" t="s">
        <v>4347</v>
      </c>
      <c r="H800" s="19" t="str">
        <f>HYPERLINK("https://elefant.by/catalogue/685329399","Посмотреть на сайте ...")</f>
        <v>Посмотреть на сайте ...</v>
      </c>
    </row>
    <row r="801" spans="1:8" s="16" customFormat="1" x14ac:dyDescent="0.25">
      <c r="A801" s="17">
        <v>791</v>
      </c>
      <c r="B801" s="17" t="s">
        <v>9</v>
      </c>
      <c r="C801" s="17" t="s">
        <v>984</v>
      </c>
      <c r="D801" s="18">
        <v>2</v>
      </c>
      <c r="E801" s="18">
        <v>5.59</v>
      </c>
      <c r="F801" s="18">
        <v>6.71</v>
      </c>
      <c r="G801" s="20" t="s">
        <v>985</v>
      </c>
      <c r="H801" s="19" t="str">
        <f>HYPERLINK("https://elefant.by/catalogue/217662809","Посмотреть на сайте ...")</f>
        <v>Посмотреть на сайте ...</v>
      </c>
    </row>
    <row r="802" spans="1:8" s="16" customFormat="1" x14ac:dyDescent="0.25">
      <c r="A802" s="17">
        <v>792</v>
      </c>
      <c r="B802" s="17" t="s">
        <v>9</v>
      </c>
      <c r="C802" s="17" t="s">
        <v>986</v>
      </c>
      <c r="D802" s="18">
        <v>2</v>
      </c>
      <c r="E802" s="18">
        <v>5.05</v>
      </c>
      <c r="F802" s="18">
        <v>6.06</v>
      </c>
      <c r="G802" s="20" t="s">
        <v>987</v>
      </c>
      <c r="H802" s="19" t="str">
        <f>HYPERLINK("https://elefant.by/catalogue/175511367","Посмотреть на сайте ...")</f>
        <v>Посмотреть на сайте ...</v>
      </c>
    </row>
    <row r="803" spans="1:8" s="16" customFormat="1" x14ac:dyDescent="0.25">
      <c r="A803" s="17">
        <v>793</v>
      </c>
      <c r="B803" s="17" t="s">
        <v>66</v>
      </c>
      <c r="C803" s="17" t="s">
        <v>3228</v>
      </c>
      <c r="D803" s="18">
        <v>8</v>
      </c>
      <c r="E803" s="18">
        <v>2.87</v>
      </c>
      <c r="F803" s="18">
        <v>3.44</v>
      </c>
      <c r="G803" s="20" t="s">
        <v>4348</v>
      </c>
      <c r="H803" s="19" t="str">
        <f>HYPERLINK("https://elefant.by/catalogue/696237628","Посмотреть на сайте ...")</f>
        <v>Посмотреть на сайте ...</v>
      </c>
    </row>
    <row r="804" spans="1:8" s="16" customFormat="1" x14ac:dyDescent="0.25">
      <c r="A804" s="17">
        <v>794</v>
      </c>
      <c r="B804" s="17" t="s">
        <v>66</v>
      </c>
      <c r="C804" s="17" t="s">
        <v>3229</v>
      </c>
      <c r="D804" s="18">
        <v>8</v>
      </c>
      <c r="E804" s="18">
        <v>2.87</v>
      </c>
      <c r="F804" s="18">
        <v>3.44</v>
      </c>
      <c r="G804" s="20" t="s">
        <v>4349</v>
      </c>
      <c r="H804" s="19" t="str">
        <f>HYPERLINK("https://elefant.by/catalogue/696237629","Посмотреть на сайте ...")</f>
        <v>Посмотреть на сайте ...</v>
      </c>
    </row>
    <row r="805" spans="1:8" s="16" customFormat="1" x14ac:dyDescent="0.25">
      <c r="A805" s="17">
        <v>795</v>
      </c>
      <c r="B805" s="17" t="s">
        <v>66</v>
      </c>
      <c r="C805" s="17" t="s">
        <v>3230</v>
      </c>
      <c r="D805" s="18">
        <v>8</v>
      </c>
      <c r="E805" s="18">
        <v>2.87</v>
      </c>
      <c r="F805" s="18">
        <v>3.44</v>
      </c>
      <c r="G805" s="20" t="s">
        <v>4350</v>
      </c>
      <c r="H805" s="19" t="str">
        <f>HYPERLINK("https://elefant.by/catalogue/691655411","Посмотреть на сайте ...")</f>
        <v>Посмотреть на сайте ...</v>
      </c>
    </row>
    <row r="806" spans="1:8" s="16" customFormat="1" x14ac:dyDescent="0.25">
      <c r="A806" s="17">
        <v>796</v>
      </c>
      <c r="B806" s="17" t="s">
        <v>66</v>
      </c>
      <c r="C806" s="17" t="s">
        <v>3231</v>
      </c>
      <c r="D806" s="18">
        <v>8</v>
      </c>
      <c r="E806" s="18">
        <v>2.87</v>
      </c>
      <c r="F806" s="18">
        <v>3.44</v>
      </c>
      <c r="G806" s="20" t="s">
        <v>4351</v>
      </c>
      <c r="H806" s="19" t="str">
        <f>HYPERLINK("https://elefant.by/catalogue/696237630","Посмотреть на сайте ...")</f>
        <v>Посмотреть на сайте ...</v>
      </c>
    </row>
    <row r="807" spans="1:8" s="16" customFormat="1" x14ac:dyDescent="0.25">
      <c r="A807" s="17">
        <v>797</v>
      </c>
      <c r="B807" s="17" t="s">
        <v>66</v>
      </c>
      <c r="C807" s="17" t="s">
        <v>3232</v>
      </c>
      <c r="D807" s="18">
        <v>8</v>
      </c>
      <c r="E807" s="18">
        <v>2.87</v>
      </c>
      <c r="F807" s="18">
        <v>3.44</v>
      </c>
      <c r="G807" s="20" t="s">
        <v>4352</v>
      </c>
      <c r="H807" s="19" t="str">
        <f>HYPERLINK("https://elefant.by/catalogue/690970272","Посмотреть на сайте ...")</f>
        <v>Посмотреть на сайте ...</v>
      </c>
    </row>
    <row r="808" spans="1:8" s="16" customFormat="1" x14ac:dyDescent="0.25">
      <c r="A808" s="17">
        <v>798</v>
      </c>
      <c r="B808" s="17" t="s">
        <v>66</v>
      </c>
      <c r="C808" s="17" t="s">
        <v>988</v>
      </c>
      <c r="D808" s="18">
        <v>8</v>
      </c>
      <c r="E808" s="18">
        <v>2.87</v>
      </c>
      <c r="F808" s="18">
        <v>3.44</v>
      </c>
      <c r="G808" s="20" t="s">
        <v>989</v>
      </c>
      <c r="H808" s="19" t="str">
        <f>HYPERLINK("https://elefant.by/catalogue/545753539","Посмотреть на сайте ...")</f>
        <v>Посмотреть на сайте ...</v>
      </c>
    </row>
    <row r="809" spans="1:8" s="16" customFormat="1" x14ac:dyDescent="0.25">
      <c r="A809" s="17">
        <v>799</v>
      </c>
      <c r="B809" s="17" t="s">
        <v>66</v>
      </c>
      <c r="C809" s="17" t="s">
        <v>990</v>
      </c>
      <c r="D809" s="18">
        <v>15</v>
      </c>
      <c r="E809" s="18">
        <v>2.33</v>
      </c>
      <c r="F809" s="18">
        <v>2.8</v>
      </c>
      <c r="G809" s="20" t="s">
        <v>991</v>
      </c>
      <c r="H809" s="19" t="str">
        <f>HYPERLINK("https://elefant.by/catalogue/486334832","Посмотреть на сайте ...")</f>
        <v>Посмотреть на сайте ...</v>
      </c>
    </row>
    <row r="810" spans="1:8" s="16" customFormat="1" x14ac:dyDescent="0.25">
      <c r="A810" s="17">
        <v>800</v>
      </c>
      <c r="B810" s="17" t="s">
        <v>17</v>
      </c>
      <c r="C810" s="17" t="s">
        <v>992</v>
      </c>
      <c r="D810" s="18">
        <v>1</v>
      </c>
      <c r="E810" s="18">
        <v>32.46</v>
      </c>
      <c r="F810" s="18">
        <v>38.950000000000003</v>
      </c>
      <c r="G810" s="20" t="s">
        <v>993</v>
      </c>
      <c r="H810" s="19" t="str">
        <f>HYPERLINK("https://elefant.by/catalogue/620247466","Посмотреть на сайте ...")</f>
        <v>Посмотреть на сайте ...</v>
      </c>
    </row>
    <row r="811" spans="1:8" s="16" customFormat="1" x14ac:dyDescent="0.25">
      <c r="A811" s="17">
        <v>801</v>
      </c>
      <c r="B811" s="17" t="s">
        <v>17</v>
      </c>
      <c r="C811" s="17" t="s">
        <v>994</v>
      </c>
      <c r="D811" s="18">
        <v>1</v>
      </c>
      <c r="E811" s="18">
        <v>32.46</v>
      </c>
      <c r="F811" s="18">
        <v>38.950000000000003</v>
      </c>
      <c r="G811" s="20" t="s">
        <v>995</v>
      </c>
      <c r="H811" s="19" t="str">
        <f>HYPERLINK("https://elefant.by/catalogue/620247467","Посмотреть на сайте ...")</f>
        <v>Посмотреть на сайте ...</v>
      </c>
    </row>
    <row r="812" spans="1:8" s="16" customFormat="1" x14ac:dyDescent="0.25">
      <c r="A812" s="17">
        <v>802</v>
      </c>
      <c r="B812" s="17" t="s">
        <v>9</v>
      </c>
      <c r="C812" s="17" t="s">
        <v>3233</v>
      </c>
      <c r="D812" s="18">
        <v>4</v>
      </c>
      <c r="E812" s="18">
        <v>43.32</v>
      </c>
      <c r="F812" s="18">
        <v>51.98</v>
      </c>
      <c r="G812" s="20" t="s">
        <v>4353</v>
      </c>
      <c r="H812" s="19" t="str">
        <f>HYPERLINK("https://elefant.by/catalogue/178175815","Посмотреть на сайте ...")</f>
        <v>Посмотреть на сайте ...</v>
      </c>
    </row>
    <row r="813" spans="1:8" s="16" customFormat="1" x14ac:dyDescent="0.25">
      <c r="A813" s="17">
        <v>803</v>
      </c>
      <c r="B813" s="17" t="s">
        <v>17</v>
      </c>
      <c r="C813" s="17" t="s">
        <v>996</v>
      </c>
      <c r="D813" s="18">
        <v>1</v>
      </c>
      <c r="E813" s="18">
        <v>13.47</v>
      </c>
      <c r="F813" s="18">
        <v>16.16</v>
      </c>
      <c r="G813" s="20" t="s">
        <v>997</v>
      </c>
      <c r="H813" s="19" t="str">
        <f>HYPERLINK("https://elefant.by/catalogue/624471965","Посмотреть на сайте ...")</f>
        <v>Посмотреть на сайте ...</v>
      </c>
    </row>
    <row r="814" spans="1:8" s="16" customFormat="1" x14ac:dyDescent="0.25">
      <c r="A814" s="17">
        <v>804</v>
      </c>
      <c r="B814" s="17" t="s">
        <v>17</v>
      </c>
      <c r="C814" s="17" t="s">
        <v>998</v>
      </c>
      <c r="D814" s="18">
        <v>1</v>
      </c>
      <c r="E814" s="18">
        <v>13.47</v>
      </c>
      <c r="F814" s="18">
        <v>16.16</v>
      </c>
      <c r="G814" s="20" t="s">
        <v>999</v>
      </c>
      <c r="H814" s="19" t="str">
        <f>HYPERLINK("https://elefant.by/catalogue/624484599","Посмотреть на сайте ...")</f>
        <v>Посмотреть на сайте ...</v>
      </c>
    </row>
    <row r="815" spans="1:8" s="16" customFormat="1" x14ac:dyDescent="0.25">
      <c r="A815" s="17">
        <v>805</v>
      </c>
      <c r="B815" s="17" t="s">
        <v>17</v>
      </c>
      <c r="C815" s="17" t="s">
        <v>1000</v>
      </c>
      <c r="D815" s="18">
        <v>2</v>
      </c>
      <c r="E815" s="18">
        <v>12.3</v>
      </c>
      <c r="F815" s="18">
        <v>14.76</v>
      </c>
      <c r="G815" s="20" t="s">
        <v>1001</v>
      </c>
      <c r="H815" s="19" t="str">
        <f>HYPERLINK("https://elefant.by/catalogue/634100544","Посмотреть на сайте ...")</f>
        <v>Посмотреть на сайте ...</v>
      </c>
    </row>
    <row r="816" spans="1:8" s="16" customFormat="1" x14ac:dyDescent="0.25">
      <c r="A816" s="17">
        <v>806</v>
      </c>
      <c r="B816" s="17" t="s">
        <v>17</v>
      </c>
      <c r="C816" s="17" t="s">
        <v>1002</v>
      </c>
      <c r="D816" s="18">
        <v>2</v>
      </c>
      <c r="E816" s="18">
        <v>12.3</v>
      </c>
      <c r="F816" s="18">
        <v>14.76</v>
      </c>
      <c r="G816" s="20" t="s">
        <v>1003</v>
      </c>
      <c r="H816" s="19" t="str">
        <f>HYPERLINK("https://elefant.by/catalogue/634100545","Посмотреть на сайте ...")</f>
        <v>Посмотреть на сайте ...</v>
      </c>
    </row>
    <row r="817" spans="1:8" s="16" customFormat="1" x14ac:dyDescent="0.25">
      <c r="A817" s="17">
        <v>807</v>
      </c>
      <c r="B817" s="17" t="s">
        <v>9</v>
      </c>
      <c r="C817" s="17" t="s">
        <v>1004</v>
      </c>
      <c r="D817" s="18">
        <v>1</v>
      </c>
      <c r="E817" s="18">
        <v>17.34</v>
      </c>
      <c r="F817" s="18">
        <v>20.81</v>
      </c>
      <c r="G817" s="20" t="s">
        <v>1005</v>
      </c>
      <c r="H817" s="19" t="str">
        <f>HYPERLINK("https://elefant.by/catalogue/170685330","Посмотреть на сайте ...")</f>
        <v>Посмотреть на сайте ...</v>
      </c>
    </row>
    <row r="818" spans="1:8" s="16" customFormat="1" x14ac:dyDescent="0.25">
      <c r="A818" s="17">
        <v>808</v>
      </c>
      <c r="B818" s="17" t="s">
        <v>9</v>
      </c>
      <c r="C818" s="17" t="s">
        <v>3234</v>
      </c>
      <c r="D818" s="18">
        <v>12</v>
      </c>
      <c r="E818" s="18">
        <v>17.34</v>
      </c>
      <c r="F818" s="18">
        <v>20.81</v>
      </c>
      <c r="G818" s="20" t="s">
        <v>4354</v>
      </c>
      <c r="H818" s="19" t="str">
        <f>HYPERLINK("https://elefant.by/catalogue/158541360","Посмотреть на сайте ...")</f>
        <v>Посмотреть на сайте ...</v>
      </c>
    </row>
    <row r="819" spans="1:8" s="16" customFormat="1" x14ac:dyDescent="0.25">
      <c r="A819" s="17">
        <v>809</v>
      </c>
      <c r="B819" s="17" t="s">
        <v>1183</v>
      </c>
      <c r="C819" s="17" t="s">
        <v>3235</v>
      </c>
      <c r="D819" s="18">
        <v>1</v>
      </c>
      <c r="E819" s="18">
        <v>17.45</v>
      </c>
      <c r="F819" s="18">
        <v>20.94</v>
      </c>
      <c r="G819" s="20" t="s">
        <v>4355</v>
      </c>
      <c r="H819" s="19" t="str">
        <f>HYPERLINK("https://elefant.by/catalogue/531490516","Посмотреть на сайте ...")</f>
        <v>Посмотреть на сайте ...</v>
      </c>
    </row>
    <row r="820" spans="1:8" s="16" customFormat="1" x14ac:dyDescent="0.25">
      <c r="A820" s="17">
        <v>810</v>
      </c>
      <c r="B820" s="17" t="s">
        <v>66</v>
      </c>
      <c r="C820" s="17" t="s">
        <v>3236</v>
      </c>
      <c r="D820" s="18">
        <v>17</v>
      </c>
      <c r="E820" s="18">
        <v>10.55</v>
      </c>
      <c r="F820" s="18">
        <v>12.66</v>
      </c>
      <c r="G820" s="20" t="s">
        <v>4356</v>
      </c>
      <c r="H820" s="19" t="str">
        <f>HYPERLINK("https://elefant.by/catalogue/148585177","Посмотреть на сайте ...")</f>
        <v>Посмотреть на сайте ...</v>
      </c>
    </row>
    <row r="821" spans="1:8" s="16" customFormat="1" x14ac:dyDescent="0.25">
      <c r="A821" s="17">
        <v>811</v>
      </c>
      <c r="B821" s="17" t="s">
        <v>66</v>
      </c>
      <c r="C821" s="17" t="s">
        <v>1006</v>
      </c>
      <c r="D821" s="18">
        <v>15</v>
      </c>
      <c r="E821" s="18">
        <v>11.03</v>
      </c>
      <c r="F821" s="18">
        <v>13.24</v>
      </c>
      <c r="G821" s="20" t="s">
        <v>1007</v>
      </c>
      <c r="H821" s="19" t="str">
        <f>HYPERLINK("https://elefant.by/catalogue/148585182","Посмотреть на сайте ...")</f>
        <v>Посмотреть на сайте ...</v>
      </c>
    </row>
    <row r="822" spans="1:8" s="16" customFormat="1" x14ac:dyDescent="0.25">
      <c r="A822" s="17">
        <v>812</v>
      </c>
      <c r="B822" s="17" t="s">
        <v>66</v>
      </c>
      <c r="C822" s="17" t="s">
        <v>1008</v>
      </c>
      <c r="D822" s="18">
        <v>12</v>
      </c>
      <c r="E822" s="18">
        <v>12.19</v>
      </c>
      <c r="F822" s="18">
        <v>14.63</v>
      </c>
      <c r="G822" s="20" t="s">
        <v>1009</v>
      </c>
      <c r="H822" s="19" t="str">
        <f>HYPERLINK("https://elefant.by/catalogue/148582882","Посмотреть на сайте ...")</f>
        <v>Посмотреть на сайте ...</v>
      </c>
    </row>
    <row r="823" spans="1:8" s="16" customFormat="1" x14ac:dyDescent="0.25">
      <c r="A823" s="17">
        <v>813</v>
      </c>
      <c r="B823" s="17" t="s">
        <v>63</v>
      </c>
      <c r="C823" s="17" t="s">
        <v>1010</v>
      </c>
      <c r="D823" s="18">
        <v>24</v>
      </c>
      <c r="E823" s="18">
        <v>1</v>
      </c>
      <c r="F823" s="18">
        <v>1.2</v>
      </c>
      <c r="G823" s="20" t="s">
        <v>1011</v>
      </c>
      <c r="H823" s="19" t="str">
        <f>HYPERLINK("https://elefant.by/catalogue/600388023","Посмотреть на сайте ...")</f>
        <v>Посмотреть на сайте ...</v>
      </c>
    </row>
    <row r="824" spans="1:8" s="16" customFormat="1" x14ac:dyDescent="0.25">
      <c r="A824" s="17">
        <v>814</v>
      </c>
      <c r="B824" s="17" t="s">
        <v>12</v>
      </c>
      <c r="C824" s="17" t="s">
        <v>1012</v>
      </c>
      <c r="D824" s="18">
        <v>24</v>
      </c>
      <c r="E824" s="18">
        <v>1.25</v>
      </c>
      <c r="F824" s="18">
        <v>1.5</v>
      </c>
      <c r="G824" s="20" t="s">
        <v>1013</v>
      </c>
      <c r="H824" s="19" t="str">
        <f>HYPERLINK("https://elefant.by/catalogue/451126175","Посмотреть на сайте ...")</f>
        <v>Посмотреть на сайте ...</v>
      </c>
    </row>
    <row r="825" spans="1:8" s="16" customFormat="1" x14ac:dyDescent="0.25">
      <c r="A825" s="17">
        <v>815</v>
      </c>
      <c r="B825" s="17" t="s">
        <v>12</v>
      </c>
      <c r="C825" s="17" t="s">
        <v>1014</v>
      </c>
      <c r="D825" s="18">
        <v>24</v>
      </c>
      <c r="E825" s="18">
        <v>1.25</v>
      </c>
      <c r="F825" s="18">
        <v>1.5</v>
      </c>
      <c r="G825" s="20" t="s">
        <v>1015</v>
      </c>
      <c r="H825" s="19" t="str">
        <f>HYPERLINK("https://elefant.by/catalogue/450884488","Посмотреть на сайте ...")</f>
        <v>Посмотреть на сайте ...</v>
      </c>
    </row>
    <row r="826" spans="1:8" s="16" customFormat="1" x14ac:dyDescent="0.25">
      <c r="A826" s="17">
        <v>816</v>
      </c>
      <c r="B826" s="17" t="s">
        <v>12</v>
      </c>
      <c r="C826" s="17" t="s">
        <v>3237</v>
      </c>
      <c r="D826" s="18">
        <v>24</v>
      </c>
      <c r="E826" s="18">
        <v>2.0099999999999998</v>
      </c>
      <c r="F826" s="18">
        <v>2.41</v>
      </c>
      <c r="G826" s="20" t="s">
        <v>4357</v>
      </c>
      <c r="H826" s="19" t="str">
        <f>HYPERLINK("https://elefant.by/catalogue/676049958","Посмотреть на сайте ...")</f>
        <v>Посмотреть на сайте ...</v>
      </c>
    </row>
    <row r="827" spans="1:8" s="16" customFormat="1" x14ac:dyDescent="0.25">
      <c r="A827" s="17">
        <v>817</v>
      </c>
      <c r="B827" s="17" t="s">
        <v>12</v>
      </c>
      <c r="C827" s="17" t="s">
        <v>3238</v>
      </c>
      <c r="D827" s="18">
        <v>24</v>
      </c>
      <c r="E827" s="18">
        <v>2.0099999999999998</v>
      </c>
      <c r="F827" s="18">
        <v>2.41</v>
      </c>
      <c r="G827" s="20" t="s">
        <v>4358</v>
      </c>
      <c r="H827" s="19" t="str">
        <f>HYPERLINK("https://elefant.by/catalogue/676130378","Посмотреть на сайте ...")</f>
        <v>Посмотреть на сайте ...</v>
      </c>
    </row>
    <row r="828" spans="1:8" s="16" customFormat="1" x14ac:dyDescent="0.25">
      <c r="A828" s="17">
        <v>818</v>
      </c>
      <c r="B828" s="17" t="s">
        <v>12</v>
      </c>
      <c r="C828" s="17" t="s">
        <v>3239</v>
      </c>
      <c r="D828" s="18">
        <v>24</v>
      </c>
      <c r="E828" s="18">
        <v>2.0099999999999998</v>
      </c>
      <c r="F828" s="18">
        <v>2.41</v>
      </c>
      <c r="G828" s="20" t="s">
        <v>4359</v>
      </c>
      <c r="H828" s="19" t="str">
        <f>HYPERLINK("https://elefant.by/catalogue/676049957","Посмотреть на сайте ...")</f>
        <v>Посмотреть на сайте ...</v>
      </c>
    </row>
    <row r="829" spans="1:8" s="16" customFormat="1" x14ac:dyDescent="0.25">
      <c r="A829" s="17">
        <v>819</v>
      </c>
      <c r="B829" s="17" t="s">
        <v>21</v>
      </c>
      <c r="C829" s="17" t="s">
        <v>1016</v>
      </c>
      <c r="D829" s="18">
        <v>10</v>
      </c>
      <c r="E829" s="18">
        <v>0.83</v>
      </c>
      <c r="F829" s="18">
        <v>1</v>
      </c>
      <c r="G829" s="20" t="s">
        <v>1017</v>
      </c>
      <c r="H829" s="19" t="str">
        <f>HYPERLINK("https://elefant.by/catalogue/175993772","Посмотреть на сайте ...")</f>
        <v>Посмотреть на сайте ...</v>
      </c>
    </row>
    <row r="830" spans="1:8" s="16" customFormat="1" x14ac:dyDescent="0.25">
      <c r="A830" s="17">
        <v>820</v>
      </c>
      <c r="B830" s="17" t="s">
        <v>21</v>
      </c>
      <c r="C830" s="17" t="s">
        <v>3240</v>
      </c>
      <c r="D830" s="18">
        <v>10</v>
      </c>
      <c r="E830" s="18">
        <v>1.67</v>
      </c>
      <c r="F830" s="18">
        <v>2</v>
      </c>
      <c r="G830" s="20" t="s">
        <v>4360</v>
      </c>
      <c r="H830" s="19" t="str">
        <f>HYPERLINK("https://elefant.by/catalogue/674915745","Посмотреть на сайте ...")</f>
        <v>Посмотреть на сайте ...</v>
      </c>
    </row>
    <row r="831" spans="1:8" s="16" customFormat="1" x14ac:dyDescent="0.25">
      <c r="A831" s="17">
        <v>821</v>
      </c>
      <c r="B831" s="17" t="s">
        <v>21</v>
      </c>
      <c r="C831" s="17" t="s">
        <v>1018</v>
      </c>
      <c r="D831" s="18">
        <v>10</v>
      </c>
      <c r="E831" s="18">
        <v>0.95</v>
      </c>
      <c r="F831" s="18">
        <v>1.1399999999999999</v>
      </c>
      <c r="G831" s="20" t="s">
        <v>1019</v>
      </c>
      <c r="H831" s="19" t="str">
        <f>HYPERLINK("https://elefant.by/catalogue/265351542","Посмотреть на сайте ...")</f>
        <v>Посмотреть на сайте ...</v>
      </c>
    </row>
    <row r="832" spans="1:8" s="16" customFormat="1" x14ac:dyDescent="0.25">
      <c r="A832" s="17">
        <v>822</v>
      </c>
      <c r="B832" s="17" t="s">
        <v>21</v>
      </c>
      <c r="C832" s="17" t="s">
        <v>1020</v>
      </c>
      <c r="D832" s="18">
        <v>10</v>
      </c>
      <c r="E832" s="18">
        <v>0.95</v>
      </c>
      <c r="F832" s="18">
        <v>1.1399999999999999</v>
      </c>
      <c r="G832" s="20" t="s">
        <v>1021</v>
      </c>
      <c r="H832" s="19" t="str">
        <f>HYPERLINK("https://elefant.by/catalogue/265351543","Посмотреть на сайте ...")</f>
        <v>Посмотреть на сайте ...</v>
      </c>
    </row>
    <row r="833" spans="1:8" s="16" customFormat="1" x14ac:dyDescent="0.25">
      <c r="A833" s="17">
        <v>823</v>
      </c>
      <c r="B833" s="17" t="s">
        <v>21</v>
      </c>
      <c r="C833" s="17" t="s">
        <v>1022</v>
      </c>
      <c r="D833" s="18">
        <v>10</v>
      </c>
      <c r="E833" s="18">
        <v>0.95</v>
      </c>
      <c r="F833" s="18">
        <v>1.1399999999999999</v>
      </c>
      <c r="G833" s="20" t="s">
        <v>1023</v>
      </c>
      <c r="H833" s="19" t="str">
        <f>HYPERLINK("https://elefant.by/catalogue/176861391","Посмотреть на сайте ...")</f>
        <v>Посмотреть на сайте ...</v>
      </c>
    </row>
    <row r="834" spans="1:8" s="16" customFormat="1" x14ac:dyDescent="0.25">
      <c r="A834" s="17">
        <v>824</v>
      </c>
      <c r="B834" s="17" t="s">
        <v>21</v>
      </c>
      <c r="C834" s="17" t="s">
        <v>1024</v>
      </c>
      <c r="D834" s="18">
        <v>10</v>
      </c>
      <c r="E834" s="18">
        <v>0.74</v>
      </c>
      <c r="F834" s="18">
        <v>0.89</v>
      </c>
      <c r="G834" s="20" t="s">
        <v>1025</v>
      </c>
      <c r="H834" s="19" t="str">
        <f>HYPERLINK("https://elefant.by/catalogue/148328172","Посмотреть на сайте ...")</f>
        <v>Посмотреть на сайте ...</v>
      </c>
    </row>
    <row r="835" spans="1:8" s="16" customFormat="1" x14ac:dyDescent="0.25">
      <c r="A835" s="17">
        <v>825</v>
      </c>
      <c r="B835" s="17" t="s">
        <v>21</v>
      </c>
      <c r="C835" s="17" t="s">
        <v>1026</v>
      </c>
      <c r="D835" s="18">
        <v>10</v>
      </c>
      <c r="E835" s="18">
        <v>1.3</v>
      </c>
      <c r="F835" s="18">
        <v>1.56</v>
      </c>
      <c r="G835" s="20" t="s">
        <v>1027</v>
      </c>
      <c r="H835" s="19" t="str">
        <f>HYPERLINK("https://elefant.by/catalogue/157658149","Посмотреть на сайте ...")</f>
        <v>Посмотреть на сайте ...</v>
      </c>
    </row>
    <row r="836" spans="1:8" s="16" customFormat="1" x14ac:dyDescent="0.25">
      <c r="A836" s="17">
        <v>826</v>
      </c>
      <c r="B836" s="17" t="s">
        <v>21</v>
      </c>
      <c r="C836" s="17" t="s">
        <v>1028</v>
      </c>
      <c r="D836" s="18">
        <v>10</v>
      </c>
      <c r="E836" s="18">
        <v>1.3</v>
      </c>
      <c r="F836" s="18">
        <v>1.56</v>
      </c>
      <c r="G836" s="20" t="s">
        <v>1029</v>
      </c>
      <c r="H836" s="19" t="str">
        <f>HYPERLINK("https://elefant.by/catalogue/157658140","Посмотреть на сайте ...")</f>
        <v>Посмотреть на сайте ...</v>
      </c>
    </row>
    <row r="837" spans="1:8" s="16" customFormat="1" x14ac:dyDescent="0.25">
      <c r="A837" s="17">
        <v>827</v>
      </c>
      <c r="B837" s="17" t="s">
        <v>12</v>
      </c>
      <c r="C837" s="17" t="s">
        <v>1030</v>
      </c>
      <c r="D837" s="18">
        <v>12</v>
      </c>
      <c r="E837" s="18">
        <v>0.6</v>
      </c>
      <c r="F837" s="18">
        <v>0.72</v>
      </c>
      <c r="G837" s="20" t="s">
        <v>1031</v>
      </c>
      <c r="H837" s="19" t="str">
        <f>HYPERLINK("https://elefant.by/catalogue/450945178","Посмотреть на сайте ...")</f>
        <v>Посмотреть на сайте ...</v>
      </c>
    </row>
    <row r="838" spans="1:8" s="16" customFormat="1" x14ac:dyDescent="0.25">
      <c r="A838" s="17">
        <v>828</v>
      </c>
      <c r="B838" s="17" t="s">
        <v>12</v>
      </c>
      <c r="C838" s="17" t="s">
        <v>3241</v>
      </c>
      <c r="D838" s="18">
        <v>12</v>
      </c>
      <c r="E838" s="18">
        <v>0.6</v>
      </c>
      <c r="F838" s="18">
        <v>0.72</v>
      </c>
      <c r="G838" s="20" t="s">
        <v>4361</v>
      </c>
      <c r="H838" s="19" t="str">
        <f>HYPERLINK("https://elefant.by/catalogue/450945179","Посмотреть на сайте ...")</f>
        <v>Посмотреть на сайте ...</v>
      </c>
    </row>
    <row r="839" spans="1:8" s="16" customFormat="1" x14ac:dyDescent="0.25">
      <c r="A839" s="17">
        <v>829</v>
      </c>
      <c r="B839" s="17" t="s">
        <v>12</v>
      </c>
      <c r="C839" s="17" t="s">
        <v>1032</v>
      </c>
      <c r="D839" s="18">
        <v>12</v>
      </c>
      <c r="E839" s="18">
        <v>0.6</v>
      </c>
      <c r="F839" s="18">
        <v>0.72</v>
      </c>
      <c r="G839" s="20" t="s">
        <v>1033</v>
      </c>
      <c r="H839" s="19" t="str">
        <f>HYPERLINK("https://elefant.by/catalogue/450945180","Посмотреть на сайте ...")</f>
        <v>Посмотреть на сайте ...</v>
      </c>
    </row>
    <row r="840" spans="1:8" s="16" customFormat="1" x14ac:dyDescent="0.25">
      <c r="A840" s="17">
        <v>830</v>
      </c>
      <c r="B840" s="17" t="s">
        <v>21</v>
      </c>
      <c r="C840" s="17" t="s">
        <v>1034</v>
      </c>
      <c r="D840" s="18">
        <v>10</v>
      </c>
      <c r="E840" s="18">
        <v>0.93</v>
      </c>
      <c r="F840" s="18">
        <v>1.1200000000000001</v>
      </c>
      <c r="G840" s="20" t="s">
        <v>1035</v>
      </c>
      <c r="H840" s="19" t="str">
        <f>HYPERLINK("https://elefant.by/catalogue/157657724","Посмотреть на сайте ...")</f>
        <v>Посмотреть на сайте ...</v>
      </c>
    </row>
    <row r="841" spans="1:8" s="16" customFormat="1" x14ac:dyDescent="0.25">
      <c r="A841" s="17">
        <v>831</v>
      </c>
      <c r="B841" s="17" t="s">
        <v>21</v>
      </c>
      <c r="C841" s="17" t="s">
        <v>1036</v>
      </c>
      <c r="D841" s="18">
        <v>10</v>
      </c>
      <c r="E841" s="18">
        <v>0.93</v>
      </c>
      <c r="F841" s="18">
        <v>1.1200000000000001</v>
      </c>
      <c r="G841" s="20" t="s">
        <v>1037</v>
      </c>
      <c r="H841" s="19" t="str">
        <f>HYPERLINK("https://elefant.by/catalogue/157657713","Посмотреть на сайте ...")</f>
        <v>Посмотреть на сайте ...</v>
      </c>
    </row>
    <row r="842" spans="1:8" s="16" customFormat="1" x14ac:dyDescent="0.25">
      <c r="A842" s="17">
        <v>832</v>
      </c>
      <c r="B842" s="17" t="s">
        <v>21</v>
      </c>
      <c r="C842" s="17" t="s">
        <v>1038</v>
      </c>
      <c r="D842" s="18">
        <v>10</v>
      </c>
      <c r="E842" s="18">
        <v>0.93</v>
      </c>
      <c r="F842" s="18">
        <v>1.1200000000000001</v>
      </c>
      <c r="G842" s="20" t="s">
        <v>1039</v>
      </c>
      <c r="H842" s="19" t="str">
        <f>HYPERLINK("https://elefant.by/catalogue/157657726","Посмотреть на сайте ...")</f>
        <v>Посмотреть на сайте ...</v>
      </c>
    </row>
    <row r="843" spans="1:8" s="16" customFormat="1" x14ac:dyDescent="0.25">
      <c r="A843" s="17">
        <v>833</v>
      </c>
      <c r="B843" s="17" t="s">
        <v>21</v>
      </c>
      <c r="C843" s="17" t="s">
        <v>1040</v>
      </c>
      <c r="D843" s="18">
        <v>10</v>
      </c>
      <c r="E843" s="18">
        <v>0.93</v>
      </c>
      <c r="F843" s="18">
        <v>1.1200000000000001</v>
      </c>
      <c r="G843" s="20" t="s">
        <v>1041</v>
      </c>
      <c r="H843" s="19" t="str">
        <f>HYPERLINK("https://elefant.by/catalogue/157657725","Посмотреть на сайте ...")</f>
        <v>Посмотреть на сайте ...</v>
      </c>
    </row>
    <row r="844" spans="1:8" s="16" customFormat="1" x14ac:dyDescent="0.25">
      <c r="A844" s="17">
        <v>834</v>
      </c>
      <c r="B844" s="17" t="s">
        <v>21</v>
      </c>
      <c r="C844" s="17" t="s">
        <v>1042</v>
      </c>
      <c r="D844" s="18">
        <v>10</v>
      </c>
      <c r="E844" s="18">
        <v>1.0900000000000001</v>
      </c>
      <c r="F844" s="18">
        <v>1.31</v>
      </c>
      <c r="G844" s="20" t="s">
        <v>1043</v>
      </c>
      <c r="H844" s="19" t="str">
        <f>HYPERLINK("https://elefant.by/catalogue/156893331","Посмотреть на сайте ...")</f>
        <v>Посмотреть на сайте ...</v>
      </c>
    </row>
    <row r="845" spans="1:8" s="16" customFormat="1" x14ac:dyDescent="0.25">
      <c r="A845" s="17">
        <v>835</v>
      </c>
      <c r="B845" s="17" t="s">
        <v>21</v>
      </c>
      <c r="C845" s="17" t="s">
        <v>1044</v>
      </c>
      <c r="D845" s="18">
        <v>10</v>
      </c>
      <c r="E845" s="18">
        <v>1.0900000000000001</v>
      </c>
      <c r="F845" s="18">
        <v>1.31</v>
      </c>
      <c r="G845" s="20" t="s">
        <v>1045</v>
      </c>
      <c r="H845" s="19" t="str">
        <f>HYPERLINK("https://elefant.by/catalogue/158081777","Посмотреть на сайте ...")</f>
        <v>Посмотреть на сайте ...</v>
      </c>
    </row>
    <row r="846" spans="1:8" s="16" customFormat="1" x14ac:dyDescent="0.25">
      <c r="A846" s="17">
        <v>836</v>
      </c>
      <c r="B846" s="17" t="s">
        <v>21</v>
      </c>
      <c r="C846" s="17" t="s">
        <v>1046</v>
      </c>
      <c r="D846" s="18">
        <v>10</v>
      </c>
      <c r="E846" s="18">
        <v>1.0900000000000001</v>
      </c>
      <c r="F846" s="18">
        <v>1.31</v>
      </c>
      <c r="G846" s="20" t="s">
        <v>1047</v>
      </c>
      <c r="H846" s="19" t="str">
        <f>HYPERLINK("https://elefant.by/catalogue/511091808","Посмотреть на сайте ...")</f>
        <v>Посмотреть на сайте ...</v>
      </c>
    </row>
    <row r="847" spans="1:8" s="16" customFormat="1" x14ac:dyDescent="0.25">
      <c r="A847" s="17">
        <v>837</v>
      </c>
      <c r="B847" s="17" t="s">
        <v>21</v>
      </c>
      <c r="C847" s="17" t="s">
        <v>1048</v>
      </c>
      <c r="D847" s="18">
        <v>10</v>
      </c>
      <c r="E847" s="18">
        <v>1.0900000000000001</v>
      </c>
      <c r="F847" s="18">
        <v>1.31</v>
      </c>
      <c r="G847" s="20" t="s">
        <v>1049</v>
      </c>
      <c r="H847" s="19" t="str">
        <f>HYPERLINK("https://elefant.by/catalogue/511091809","Посмотреть на сайте ...")</f>
        <v>Посмотреть на сайте ...</v>
      </c>
    </row>
    <row r="848" spans="1:8" s="16" customFormat="1" x14ac:dyDescent="0.25">
      <c r="A848" s="17">
        <v>838</v>
      </c>
      <c r="B848" s="17" t="s">
        <v>21</v>
      </c>
      <c r="C848" s="17" t="s">
        <v>1050</v>
      </c>
      <c r="D848" s="18">
        <v>10</v>
      </c>
      <c r="E848" s="18">
        <v>1.0900000000000001</v>
      </c>
      <c r="F848" s="18">
        <v>1.31</v>
      </c>
      <c r="G848" s="20" t="s">
        <v>1051</v>
      </c>
      <c r="H848" s="19" t="str">
        <f>HYPERLINK("https://elefant.by/catalogue/409010175","Посмотреть на сайте ...")</f>
        <v>Посмотреть на сайте ...</v>
      </c>
    </row>
    <row r="849" spans="1:8" s="16" customFormat="1" x14ac:dyDescent="0.25">
      <c r="A849" s="17">
        <v>839</v>
      </c>
      <c r="B849" s="17" t="s">
        <v>21</v>
      </c>
      <c r="C849" s="17" t="s">
        <v>1052</v>
      </c>
      <c r="D849" s="18">
        <v>10</v>
      </c>
      <c r="E849" s="18">
        <v>1.0900000000000001</v>
      </c>
      <c r="F849" s="18">
        <v>1.31</v>
      </c>
      <c r="G849" s="20" t="s">
        <v>1053</v>
      </c>
      <c r="H849" s="19" t="str">
        <f>HYPERLINK("https://elefant.by/catalogue/511091810","Посмотреть на сайте ...")</f>
        <v>Посмотреть на сайте ...</v>
      </c>
    </row>
    <row r="850" spans="1:8" s="16" customFormat="1" x14ac:dyDescent="0.25">
      <c r="A850" s="17">
        <v>840</v>
      </c>
      <c r="B850" s="17" t="s">
        <v>21</v>
      </c>
      <c r="C850" s="17" t="s">
        <v>1054</v>
      </c>
      <c r="D850" s="18">
        <v>10</v>
      </c>
      <c r="E850" s="18">
        <v>1.0900000000000001</v>
      </c>
      <c r="F850" s="18">
        <v>1.31</v>
      </c>
      <c r="G850" s="20" t="s">
        <v>1055</v>
      </c>
      <c r="H850" s="19" t="str">
        <f>HYPERLINK("https://elefant.by/catalogue/149831035","Посмотреть на сайте ...")</f>
        <v>Посмотреть на сайте ...</v>
      </c>
    </row>
    <row r="851" spans="1:8" s="16" customFormat="1" x14ac:dyDescent="0.25">
      <c r="A851" s="17">
        <v>841</v>
      </c>
      <c r="B851" s="17" t="s">
        <v>12</v>
      </c>
      <c r="C851" s="17" t="s">
        <v>3242</v>
      </c>
      <c r="D851" s="18">
        <v>12</v>
      </c>
      <c r="E851" s="18">
        <v>0.56999999999999995</v>
      </c>
      <c r="F851" s="18">
        <v>0.68</v>
      </c>
      <c r="G851" s="20" t="s">
        <v>4362</v>
      </c>
      <c r="H851" s="19" t="str">
        <f>HYPERLINK("https://elefant.by/catalogue/615912471","Посмотреть на сайте ...")</f>
        <v>Посмотреть на сайте ...</v>
      </c>
    </row>
    <row r="852" spans="1:8" s="16" customFormat="1" x14ac:dyDescent="0.25">
      <c r="A852" s="17">
        <v>842</v>
      </c>
      <c r="B852" s="17" t="s">
        <v>21</v>
      </c>
      <c r="C852" s="17" t="s">
        <v>1056</v>
      </c>
      <c r="D852" s="18">
        <v>10</v>
      </c>
      <c r="E852" s="18">
        <v>0.88</v>
      </c>
      <c r="F852" s="18">
        <v>1.06</v>
      </c>
      <c r="G852" s="20" t="s">
        <v>1057</v>
      </c>
      <c r="H852" s="19" t="str">
        <f>HYPERLINK("https://elefant.by/catalogue/147680296","Посмотреть на сайте ...")</f>
        <v>Посмотреть на сайте ...</v>
      </c>
    </row>
    <row r="853" spans="1:8" s="16" customFormat="1" x14ac:dyDescent="0.25">
      <c r="A853" s="17">
        <v>843</v>
      </c>
      <c r="B853" s="17" t="s">
        <v>63</v>
      </c>
      <c r="C853" s="17" t="s">
        <v>3243</v>
      </c>
      <c r="D853" s="18">
        <v>12</v>
      </c>
      <c r="E853" s="18">
        <v>0.38</v>
      </c>
      <c r="F853" s="18">
        <v>0.46</v>
      </c>
      <c r="G853" s="20" t="s">
        <v>4363</v>
      </c>
      <c r="H853" s="19" t="str">
        <f>HYPERLINK("https://elefant.by/catalogue/663507658","Посмотреть на сайте ...")</f>
        <v>Посмотреть на сайте ...</v>
      </c>
    </row>
    <row r="854" spans="1:8" s="16" customFormat="1" x14ac:dyDescent="0.25">
      <c r="A854" s="17">
        <v>844</v>
      </c>
      <c r="B854" s="17" t="s">
        <v>63</v>
      </c>
      <c r="C854" s="17" t="s">
        <v>1058</v>
      </c>
      <c r="D854" s="18">
        <v>12</v>
      </c>
      <c r="E854" s="18">
        <v>0.38</v>
      </c>
      <c r="F854" s="18">
        <v>0.46</v>
      </c>
      <c r="G854" s="20" t="s">
        <v>1059</v>
      </c>
      <c r="H854" s="19" t="str">
        <f>HYPERLINK("https://elefant.by/catalogue/591887919","Посмотреть на сайте ...")</f>
        <v>Посмотреть на сайте ...</v>
      </c>
    </row>
    <row r="855" spans="1:8" s="16" customFormat="1" x14ac:dyDescent="0.25">
      <c r="A855" s="17">
        <v>845</v>
      </c>
      <c r="B855" s="17" t="s">
        <v>63</v>
      </c>
      <c r="C855" s="17" t="s">
        <v>1060</v>
      </c>
      <c r="D855" s="18">
        <v>12</v>
      </c>
      <c r="E855" s="18">
        <v>0.38</v>
      </c>
      <c r="F855" s="18">
        <v>0.46</v>
      </c>
      <c r="G855" s="20" t="s">
        <v>1061</v>
      </c>
      <c r="H855" s="19" t="str">
        <f>HYPERLINK("https://elefant.by/catalogue/591887920","Посмотреть на сайте ...")</f>
        <v>Посмотреть на сайте ...</v>
      </c>
    </row>
    <row r="856" spans="1:8" s="16" customFormat="1" x14ac:dyDescent="0.25">
      <c r="A856" s="17">
        <v>846</v>
      </c>
      <c r="B856" s="17" t="s">
        <v>63</v>
      </c>
      <c r="C856" s="17" t="s">
        <v>1062</v>
      </c>
      <c r="D856" s="18">
        <v>12</v>
      </c>
      <c r="E856" s="18">
        <v>0.38</v>
      </c>
      <c r="F856" s="18">
        <v>0.46</v>
      </c>
      <c r="G856" s="20" t="s">
        <v>1063</v>
      </c>
      <c r="H856" s="19" t="str">
        <f>HYPERLINK("https://elefant.by/catalogue/591887921","Посмотреть на сайте ...")</f>
        <v>Посмотреть на сайте ...</v>
      </c>
    </row>
    <row r="857" spans="1:8" s="16" customFormat="1" x14ac:dyDescent="0.25">
      <c r="A857" s="17">
        <v>847</v>
      </c>
      <c r="B857" s="17" t="s">
        <v>63</v>
      </c>
      <c r="C857" s="17" t="s">
        <v>1064</v>
      </c>
      <c r="D857" s="18">
        <v>12</v>
      </c>
      <c r="E857" s="18">
        <v>0.38</v>
      </c>
      <c r="F857" s="18">
        <v>0.46</v>
      </c>
      <c r="G857" s="20" t="s">
        <v>1065</v>
      </c>
      <c r="H857" s="19" t="str">
        <f>HYPERLINK("https://elefant.by/catalogue/591887922","Посмотреть на сайте ...")</f>
        <v>Посмотреть на сайте ...</v>
      </c>
    </row>
    <row r="858" spans="1:8" s="16" customFormat="1" x14ac:dyDescent="0.25">
      <c r="A858" s="17">
        <v>848</v>
      </c>
      <c r="B858" s="17" t="s">
        <v>3109</v>
      </c>
      <c r="C858" s="17" t="s">
        <v>3244</v>
      </c>
      <c r="D858" s="18">
        <v>10</v>
      </c>
      <c r="E858" s="18">
        <v>1.08</v>
      </c>
      <c r="F858" s="18">
        <v>1.3</v>
      </c>
      <c r="G858" s="20" t="s">
        <v>4364</v>
      </c>
      <c r="H858" s="19" t="str">
        <f>HYPERLINK("https://elefant.by/catalogue/677425931","Посмотреть на сайте ...")</f>
        <v>Посмотреть на сайте ...</v>
      </c>
    </row>
    <row r="859" spans="1:8" s="16" customFormat="1" x14ac:dyDescent="0.25">
      <c r="A859" s="17">
        <v>849</v>
      </c>
      <c r="B859" s="17" t="s">
        <v>12</v>
      </c>
      <c r="C859" s="17" t="s">
        <v>1094</v>
      </c>
      <c r="D859" s="18">
        <v>12</v>
      </c>
      <c r="E859" s="18">
        <v>0.6</v>
      </c>
      <c r="F859" s="18">
        <v>0.72</v>
      </c>
      <c r="G859" s="20" t="s">
        <v>1095</v>
      </c>
      <c r="H859" s="19" t="str">
        <f>HYPERLINK("https://elefant.by/catalogue/620246249","Посмотреть на сайте ...")</f>
        <v>Посмотреть на сайте ...</v>
      </c>
    </row>
    <row r="860" spans="1:8" s="16" customFormat="1" x14ac:dyDescent="0.25">
      <c r="A860" s="17">
        <v>850</v>
      </c>
      <c r="B860" s="17" t="s">
        <v>9</v>
      </c>
      <c r="C860" s="17" t="s">
        <v>1066</v>
      </c>
      <c r="D860" s="18">
        <v>10</v>
      </c>
      <c r="E860" s="18">
        <v>1.18</v>
      </c>
      <c r="F860" s="18">
        <v>1.42</v>
      </c>
      <c r="G860" s="20" t="s">
        <v>1067</v>
      </c>
      <c r="H860" s="19" t="str">
        <f>HYPERLINK("https://elefant.by/catalogue/202162684","Посмотреть на сайте ...")</f>
        <v>Посмотреть на сайте ...</v>
      </c>
    </row>
    <row r="861" spans="1:8" s="16" customFormat="1" x14ac:dyDescent="0.25">
      <c r="A861" s="17">
        <v>851</v>
      </c>
      <c r="B861" s="17" t="s">
        <v>9</v>
      </c>
      <c r="C861" s="17" t="s">
        <v>1068</v>
      </c>
      <c r="D861" s="18">
        <v>10</v>
      </c>
      <c r="E861" s="18">
        <v>1.18</v>
      </c>
      <c r="F861" s="18">
        <v>1.42</v>
      </c>
      <c r="G861" s="20" t="s">
        <v>1069</v>
      </c>
      <c r="H861" s="19" t="str">
        <f>HYPERLINK("https://elefant.by/catalogue/202162686","Посмотреть на сайте ...")</f>
        <v>Посмотреть на сайте ...</v>
      </c>
    </row>
    <row r="862" spans="1:8" s="16" customFormat="1" x14ac:dyDescent="0.25">
      <c r="A862" s="17">
        <v>852</v>
      </c>
      <c r="B862" s="17" t="s">
        <v>9</v>
      </c>
      <c r="C862" s="17" t="s">
        <v>1070</v>
      </c>
      <c r="D862" s="18">
        <v>10</v>
      </c>
      <c r="E862" s="18">
        <v>1.18</v>
      </c>
      <c r="F862" s="18">
        <v>1.42</v>
      </c>
      <c r="G862" s="20" t="s">
        <v>1071</v>
      </c>
      <c r="H862" s="19" t="str">
        <f>HYPERLINK("https://elefant.by/catalogue/202162681","Посмотреть на сайте ...")</f>
        <v>Посмотреть на сайте ...</v>
      </c>
    </row>
    <row r="863" spans="1:8" s="16" customFormat="1" x14ac:dyDescent="0.25">
      <c r="A863" s="17">
        <v>853</v>
      </c>
      <c r="B863" s="17" t="s">
        <v>9</v>
      </c>
      <c r="C863" s="17" t="s">
        <v>1072</v>
      </c>
      <c r="D863" s="18">
        <v>10</v>
      </c>
      <c r="E863" s="18">
        <v>1.18</v>
      </c>
      <c r="F863" s="18">
        <v>1.42</v>
      </c>
      <c r="G863" s="20" t="s">
        <v>1073</v>
      </c>
      <c r="H863" s="19" t="str">
        <f>HYPERLINK("https://elefant.by/catalogue/202162683","Посмотреть на сайте ...")</f>
        <v>Посмотреть на сайте ...</v>
      </c>
    </row>
    <row r="864" spans="1:8" s="16" customFormat="1" x14ac:dyDescent="0.25">
      <c r="A864" s="17">
        <v>854</v>
      </c>
      <c r="B864" s="17" t="s">
        <v>9</v>
      </c>
      <c r="C864" s="17" t="s">
        <v>1074</v>
      </c>
      <c r="D864" s="18">
        <v>10</v>
      </c>
      <c r="E864" s="18">
        <v>1.18</v>
      </c>
      <c r="F864" s="18">
        <v>1.42</v>
      </c>
      <c r="G864" s="20" t="s">
        <v>1075</v>
      </c>
      <c r="H864" s="19" t="str">
        <f>HYPERLINK("https://elefant.by/catalogue/202162682","Посмотреть на сайте ...")</f>
        <v>Посмотреть на сайте ...</v>
      </c>
    </row>
    <row r="865" spans="1:8" s="16" customFormat="1" x14ac:dyDescent="0.25">
      <c r="A865" s="17">
        <v>855</v>
      </c>
      <c r="B865" s="17" t="s">
        <v>9</v>
      </c>
      <c r="C865" s="17" t="s">
        <v>1076</v>
      </c>
      <c r="D865" s="18">
        <v>10</v>
      </c>
      <c r="E865" s="18">
        <v>1.18</v>
      </c>
      <c r="F865" s="18">
        <v>1.42</v>
      </c>
      <c r="G865" s="20" t="s">
        <v>1077</v>
      </c>
      <c r="H865" s="19" t="str">
        <f>HYPERLINK("https://elefant.by/catalogue/202162685","Посмотреть на сайте ...")</f>
        <v>Посмотреть на сайте ...</v>
      </c>
    </row>
    <row r="866" spans="1:8" s="16" customFormat="1" x14ac:dyDescent="0.25">
      <c r="A866" s="17">
        <v>856</v>
      </c>
      <c r="B866" s="17" t="s">
        <v>21</v>
      </c>
      <c r="C866" s="17" t="s">
        <v>1078</v>
      </c>
      <c r="D866" s="18">
        <v>10</v>
      </c>
      <c r="E866" s="18">
        <v>0.97</v>
      </c>
      <c r="F866" s="18">
        <v>1.1599999999999999</v>
      </c>
      <c r="G866" s="20" t="s">
        <v>1079</v>
      </c>
      <c r="H866" s="19" t="str">
        <f>HYPERLINK("https://elefant.by/catalogue/153513909","Посмотреть на сайте ...")</f>
        <v>Посмотреть на сайте ...</v>
      </c>
    </row>
    <row r="867" spans="1:8" s="16" customFormat="1" x14ac:dyDescent="0.25">
      <c r="A867" s="17">
        <v>857</v>
      </c>
      <c r="B867" s="17" t="s">
        <v>21</v>
      </c>
      <c r="C867" s="17" t="s">
        <v>1080</v>
      </c>
      <c r="D867" s="18">
        <v>10</v>
      </c>
      <c r="E867" s="18">
        <v>0.97</v>
      </c>
      <c r="F867" s="18">
        <v>1.1599999999999999</v>
      </c>
      <c r="G867" s="20" t="s">
        <v>1081</v>
      </c>
      <c r="H867" s="19" t="str">
        <f>HYPERLINK("https://elefant.by/catalogue/152943591","Посмотреть на сайте ...")</f>
        <v>Посмотреть на сайте ...</v>
      </c>
    </row>
    <row r="868" spans="1:8" s="16" customFormat="1" x14ac:dyDescent="0.25">
      <c r="A868" s="17">
        <v>858</v>
      </c>
      <c r="B868" s="17" t="s">
        <v>21</v>
      </c>
      <c r="C868" s="17" t="s">
        <v>1082</v>
      </c>
      <c r="D868" s="18">
        <v>10</v>
      </c>
      <c r="E868" s="18">
        <v>0.97</v>
      </c>
      <c r="F868" s="18">
        <v>1.1599999999999999</v>
      </c>
      <c r="G868" s="20" t="s">
        <v>1083</v>
      </c>
      <c r="H868" s="19" t="str">
        <f>HYPERLINK("https://elefant.by/catalogue/153513843","Посмотреть на сайте ...")</f>
        <v>Посмотреть на сайте ...</v>
      </c>
    </row>
    <row r="869" spans="1:8" s="16" customFormat="1" x14ac:dyDescent="0.25">
      <c r="A869" s="17">
        <v>859</v>
      </c>
      <c r="B869" s="17" t="s">
        <v>21</v>
      </c>
      <c r="C869" s="17" t="s">
        <v>1084</v>
      </c>
      <c r="D869" s="18">
        <v>10</v>
      </c>
      <c r="E869" s="18">
        <v>0.97</v>
      </c>
      <c r="F869" s="18">
        <v>1.1599999999999999</v>
      </c>
      <c r="G869" s="20" t="s">
        <v>1085</v>
      </c>
      <c r="H869" s="19" t="str">
        <f>HYPERLINK("https://elefant.by/catalogue/152944649","Посмотреть на сайте ...")</f>
        <v>Посмотреть на сайте ...</v>
      </c>
    </row>
    <row r="870" spans="1:8" s="16" customFormat="1" x14ac:dyDescent="0.25">
      <c r="A870" s="17">
        <v>860</v>
      </c>
      <c r="B870" s="17" t="s">
        <v>21</v>
      </c>
      <c r="C870" s="17" t="s">
        <v>1086</v>
      </c>
      <c r="D870" s="18">
        <v>10</v>
      </c>
      <c r="E870" s="18">
        <v>0.97</v>
      </c>
      <c r="F870" s="18">
        <v>1.1599999999999999</v>
      </c>
      <c r="G870" s="20" t="s">
        <v>1087</v>
      </c>
      <c r="H870" s="19" t="str">
        <f>HYPERLINK("https://elefant.by/catalogue/152943592","Посмотреть на сайте ...")</f>
        <v>Посмотреть на сайте ...</v>
      </c>
    </row>
    <row r="871" spans="1:8" s="16" customFormat="1" x14ac:dyDescent="0.25">
      <c r="A871" s="17">
        <v>861</v>
      </c>
      <c r="B871" s="17" t="s">
        <v>21</v>
      </c>
      <c r="C871" s="17" t="s">
        <v>1088</v>
      </c>
      <c r="D871" s="18">
        <v>10</v>
      </c>
      <c r="E871" s="18">
        <v>0.97</v>
      </c>
      <c r="F871" s="18">
        <v>1.1599999999999999</v>
      </c>
      <c r="G871" s="20" t="s">
        <v>1089</v>
      </c>
      <c r="H871" s="19" t="str">
        <f>HYPERLINK("https://elefant.by/catalogue/152943593","Посмотреть на сайте ...")</f>
        <v>Посмотреть на сайте ...</v>
      </c>
    </row>
    <row r="872" spans="1:8" s="16" customFormat="1" x14ac:dyDescent="0.25">
      <c r="A872" s="17">
        <v>862</v>
      </c>
      <c r="B872" s="17" t="s">
        <v>21</v>
      </c>
      <c r="C872" s="17" t="s">
        <v>1090</v>
      </c>
      <c r="D872" s="18">
        <v>10</v>
      </c>
      <c r="E872" s="18">
        <v>0.97</v>
      </c>
      <c r="F872" s="18">
        <v>1.1599999999999999</v>
      </c>
      <c r="G872" s="20" t="s">
        <v>1091</v>
      </c>
      <c r="H872" s="19" t="str">
        <f>HYPERLINK("https://elefant.by/catalogue/157657226","Посмотреть на сайте ...")</f>
        <v>Посмотреть на сайте ...</v>
      </c>
    </row>
    <row r="873" spans="1:8" s="16" customFormat="1" x14ac:dyDescent="0.25">
      <c r="A873" s="17">
        <v>863</v>
      </c>
      <c r="B873" s="17" t="s">
        <v>21</v>
      </c>
      <c r="C873" s="17" t="s">
        <v>3245</v>
      </c>
      <c r="D873" s="18">
        <v>10</v>
      </c>
      <c r="E873" s="18">
        <v>1.18</v>
      </c>
      <c r="F873" s="18">
        <v>1.42</v>
      </c>
      <c r="G873" s="20" t="s">
        <v>4365</v>
      </c>
      <c r="H873" s="19" t="str">
        <f>HYPERLINK("https://elefant.by/catalogue/674915743","Посмотреть на сайте ...")</f>
        <v>Посмотреть на сайте ...</v>
      </c>
    </row>
    <row r="874" spans="1:8" s="16" customFormat="1" x14ac:dyDescent="0.25">
      <c r="A874" s="17">
        <v>864</v>
      </c>
      <c r="B874" s="17" t="s">
        <v>21</v>
      </c>
      <c r="C874" s="17" t="s">
        <v>3246</v>
      </c>
      <c r="D874" s="18">
        <v>10</v>
      </c>
      <c r="E874" s="18">
        <v>1.18</v>
      </c>
      <c r="F874" s="18">
        <v>1.42</v>
      </c>
      <c r="G874" s="20" t="s">
        <v>4366</v>
      </c>
      <c r="H874" s="19" t="str">
        <f>HYPERLINK("https://elefant.by/catalogue/674915744","Посмотреть на сайте ...")</f>
        <v>Посмотреть на сайте ...</v>
      </c>
    </row>
    <row r="875" spans="1:8" s="16" customFormat="1" x14ac:dyDescent="0.25">
      <c r="A875" s="17">
        <v>865</v>
      </c>
      <c r="B875" s="17" t="s">
        <v>21</v>
      </c>
      <c r="C875" s="17" t="s">
        <v>3247</v>
      </c>
      <c r="D875" s="18">
        <v>10</v>
      </c>
      <c r="E875" s="18">
        <v>1.18</v>
      </c>
      <c r="F875" s="18">
        <v>1.42</v>
      </c>
      <c r="G875" s="20" t="s">
        <v>4367</v>
      </c>
      <c r="H875" s="19" t="str">
        <f>HYPERLINK("https://elefant.by/catalogue/674915741","Посмотреть на сайте ...")</f>
        <v>Посмотреть на сайте ...</v>
      </c>
    </row>
    <row r="876" spans="1:8" s="16" customFormat="1" x14ac:dyDescent="0.25">
      <c r="A876" s="17">
        <v>866</v>
      </c>
      <c r="B876" s="17" t="s">
        <v>21</v>
      </c>
      <c r="C876" s="17" t="s">
        <v>3248</v>
      </c>
      <c r="D876" s="18">
        <v>10</v>
      </c>
      <c r="E876" s="18">
        <v>1.18</v>
      </c>
      <c r="F876" s="18">
        <v>1.42</v>
      </c>
      <c r="G876" s="20" t="s">
        <v>4368</v>
      </c>
      <c r="H876" s="19" t="str">
        <f>HYPERLINK("https://elefant.by/catalogue/674915742","Посмотреть на сайте ...")</f>
        <v>Посмотреть на сайте ...</v>
      </c>
    </row>
    <row r="877" spans="1:8" s="16" customFormat="1" x14ac:dyDescent="0.25">
      <c r="A877" s="17">
        <v>867</v>
      </c>
      <c r="B877" s="17" t="s">
        <v>21</v>
      </c>
      <c r="C877" s="17" t="s">
        <v>1092</v>
      </c>
      <c r="D877" s="18">
        <v>10</v>
      </c>
      <c r="E877" s="18">
        <v>0.74</v>
      </c>
      <c r="F877" s="18">
        <v>0.89</v>
      </c>
      <c r="G877" s="20" t="s">
        <v>1093</v>
      </c>
      <c r="H877" s="19" t="str">
        <f>HYPERLINK("https://elefant.by/catalogue/265351536","Посмотреть на сайте ...")</f>
        <v>Посмотреть на сайте ...</v>
      </c>
    </row>
    <row r="878" spans="1:8" s="16" customFormat="1" x14ac:dyDescent="0.25">
      <c r="A878" s="17">
        <v>868</v>
      </c>
      <c r="B878" s="17" t="s">
        <v>12</v>
      </c>
      <c r="C878" s="17" t="s">
        <v>1096</v>
      </c>
      <c r="D878" s="18">
        <v>12</v>
      </c>
      <c r="E878" s="18">
        <v>1.63</v>
      </c>
      <c r="F878" s="18">
        <v>1.96</v>
      </c>
      <c r="G878" s="20" t="s">
        <v>1097</v>
      </c>
      <c r="H878" s="19" t="str">
        <f>HYPERLINK("https://elefant.by/catalogue/450945189","Посмотреть на сайте ...")</f>
        <v>Посмотреть на сайте ...</v>
      </c>
    </row>
    <row r="879" spans="1:8" s="16" customFormat="1" x14ac:dyDescent="0.25">
      <c r="A879" s="17">
        <v>869</v>
      </c>
      <c r="B879" s="17" t="s">
        <v>12</v>
      </c>
      <c r="C879" s="17" t="s">
        <v>1098</v>
      </c>
      <c r="D879" s="18">
        <v>12</v>
      </c>
      <c r="E879" s="18">
        <v>1.63</v>
      </c>
      <c r="F879" s="18">
        <v>1.96</v>
      </c>
      <c r="G879" s="20" t="s">
        <v>1099</v>
      </c>
      <c r="H879" s="19" t="str">
        <f>HYPERLINK("https://elefant.by/catalogue/450945194","Посмотреть на сайте ...")</f>
        <v>Посмотреть на сайте ...</v>
      </c>
    </row>
    <row r="880" spans="1:8" s="16" customFormat="1" x14ac:dyDescent="0.25">
      <c r="A880" s="17">
        <v>870</v>
      </c>
      <c r="B880" s="17" t="s">
        <v>12</v>
      </c>
      <c r="C880" s="17" t="s">
        <v>1100</v>
      </c>
      <c r="D880" s="18">
        <v>12</v>
      </c>
      <c r="E880" s="18">
        <v>1.63</v>
      </c>
      <c r="F880" s="18">
        <v>1.96</v>
      </c>
      <c r="G880" s="20" t="s">
        <v>1101</v>
      </c>
      <c r="H880" s="19" t="str">
        <f>HYPERLINK("https://elefant.by/catalogue/450945192","Посмотреть на сайте ...")</f>
        <v>Посмотреть на сайте ...</v>
      </c>
    </row>
    <row r="881" spans="1:8" s="16" customFormat="1" x14ac:dyDescent="0.25">
      <c r="A881" s="17">
        <v>871</v>
      </c>
      <c r="B881" s="17" t="s">
        <v>12</v>
      </c>
      <c r="C881" s="17" t="s">
        <v>3249</v>
      </c>
      <c r="D881" s="18">
        <v>12</v>
      </c>
      <c r="E881" s="18">
        <v>1.63</v>
      </c>
      <c r="F881" s="18">
        <v>1.96</v>
      </c>
      <c r="G881" s="20" t="s">
        <v>4369</v>
      </c>
      <c r="H881" s="19" t="str">
        <f>HYPERLINK("https://elefant.by/catalogue/656942506","Посмотреть на сайте ...")</f>
        <v>Посмотреть на сайте ...</v>
      </c>
    </row>
    <row r="882" spans="1:8" s="16" customFormat="1" x14ac:dyDescent="0.25">
      <c r="A882" s="17">
        <v>872</v>
      </c>
      <c r="B882" s="17" t="s">
        <v>21</v>
      </c>
      <c r="C882" s="17" t="s">
        <v>1102</v>
      </c>
      <c r="D882" s="18">
        <v>10</v>
      </c>
      <c r="E882" s="18">
        <v>1.02</v>
      </c>
      <c r="F882" s="18">
        <v>1.22</v>
      </c>
      <c r="G882" s="20" t="s">
        <v>1103</v>
      </c>
      <c r="H882" s="19" t="str">
        <f>HYPERLINK("https://elefant.by/catalogue/364855466","Посмотреть на сайте ...")</f>
        <v>Посмотреть на сайте ...</v>
      </c>
    </row>
    <row r="883" spans="1:8" s="16" customFormat="1" x14ac:dyDescent="0.25">
      <c r="A883" s="17">
        <v>873</v>
      </c>
      <c r="B883" s="17" t="s">
        <v>21</v>
      </c>
      <c r="C883" s="17" t="s">
        <v>1104</v>
      </c>
      <c r="D883" s="18">
        <v>10</v>
      </c>
      <c r="E883" s="18">
        <v>1.57</v>
      </c>
      <c r="F883" s="18">
        <v>1.88</v>
      </c>
      <c r="G883" s="20" t="s">
        <v>1105</v>
      </c>
      <c r="H883" s="19" t="str">
        <f>HYPERLINK("https://elefant.by/catalogue/176861390","Посмотреть на сайте ...")</f>
        <v>Посмотреть на сайте ...</v>
      </c>
    </row>
    <row r="884" spans="1:8" s="16" customFormat="1" x14ac:dyDescent="0.25">
      <c r="A884" s="17">
        <v>874</v>
      </c>
      <c r="B884" s="17" t="s">
        <v>20</v>
      </c>
      <c r="C884" s="17" t="s">
        <v>1106</v>
      </c>
      <c r="D884" s="18">
        <v>12</v>
      </c>
      <c r="E884" s="18">
        <v>0.48</v>
      </c>
      <c r="F884" s="18">
        <v>0.57999999999999996</v>
      </c>
      <c r="G884" s="20" t="s">
        <v>1107</v>
      </c>
      <c r="H884" s="19" t="str">
        <f>HYPERLINK("https://elefant.by/catalogue/513782406","Посмотреть на сайте ...")</f>
        <v>Посмотреть на сайте ...</v>
      </c>
    </row>
    <row r="885" spans="1:8" s="16" customFormat="1" x14ac:dyDescent="0.25">
      <c r="A885" s="17">
        <v>875</v>
      </c>
      <c r="B885" s="17" t="s">
        <v>20</v>
      </c>
      <c r="C885" s="17" t="s">
        <v>1108</v>
      </c>
      <c r="D885" s="18">
        <v>12</v>
      </c>
      <c r="E885" s="18">
        <v>0.48</v>
      </c>
      <c r="F885" s="18">
        <v>0.57999999999999996</v>
      </c>
      <c r="G885" s="20" t="s">
        <v>1109</v>
      </c>
      <c r="H885" s="19" t="str">
        <f>HYPERLINK("https://elefant.by/catalogue/513782408","Посмотреть на сайте ...")</f>
        <v>Посмотреть на сайте ...</v>
      </c>
    </row>
    <row r="886" spans="1:8" s="16" customFormat="1" x14ac:dyDescent="0.25">
      <c r="A886" s="17">
        <v>876</v>
      </c>
      <c r="B886" s="17" t="s">
        <v>20</v>
      </c>
      <c r="C886" s="17" t="s">
        <v>1110</v>
      </c>
      <c r="D886" s="18">
        <v>12</v>
      </c>
      <c r="E886" s="18">
        <v>0.48</v>
      </c>
      <c r="F886" s="18">
        <v>0.57999999999999996</v>
      </c>
      <c r="G886" s="20" t="s">
        <v>1111</v>
      </c>
      <c r="H886" s="19" t="str">
        <f>HYPERLINK("https://elefant.by/catalogue/513782409","Посмотреть на сайте ...")</f>
        <v>Посмотреть на сайте ...</v>
      </c>
    </row>
    <row r="887" spans="1:8" s="16" customFormat="1" x14ac:dyDescent="0.25">
      <c r="A887" s="17">
        <v>877</v>
      </c>
      <c r="B887" s="17" t="s">
        <v>21</v>
      </c>
      <c r="C887" s="17" t="s">
        <v>3250</v>
      </c>
      <c r="D887" s="18">
        <v>10</v>
      </c>
      <c r="E887" s="18">
        <v>0.88</v>
      </c>
      <c r="F887" s="18">
        <v>1.06</v>
      </c>
      <c r="G887" s="20" t="s">
        <v>1112</v>
      </c>
      <c r="H887" s="19" t="str">
        <f>HYPERLINK("https://elefant.by/catalogue/168021060","Посмотреть на сайте ...")</f>
        <v>Посмотреть на сайте ...</v>
      </c>
    </row>
    <row r="888" spans="1:8" s="16" customFormat="1" x14ac:dyDescent="0.25">
      <c r="A888" s="17">
        <v>878</v>
      </c>
      <c r="B888" s="17" t="s">
        <v>21</v>
      </c>
      <c r="C888" s="17" t="s">
        <v>3251</v>
      </c>
      <c r="D888" s="18">
        <v>10</v>
      </c>
      <c r="E888" s="18">
        <v>0.88</v>
      </c>
      <c r="F888" s="18">
        <v>1.06</v>
      </c>
      <c r="G888" s="20" t="s">
        <v>1113</v>
      </c>
      <c r="H888" s="19" t="str">
        <f>HYPERLINK("https://elefant.by/catalogue/158081794","Посмотреть на сайте ...")</f>
        <v>Посмотреть на сайте ...</v>
      </c>
    </row>
    <row r="889" spans="1:8" s="16" customFormat="1" x14ac:dyDescent="0.25">
      <c r="A889" s="17">
        <v>879</v>
      </c>
      <c r="B889" s="17" t="s">
        <v>21</v>
      </c>
      <c r="C889" s="17" t="s">
        <v>3252</v>
      </c>
      <c r="D889" s="18">
        <v>10</v>
      </c>
      <c r="E889" s="18">
        <v>0.88</v>
      </c>
      <c r="F889" s="18">
        <v>1.06</v>
      </c>
      <c r="G889" s="20" t="s">
        <v>1114</v>
      </c>
      <c r="H889" s="19" t="str">
        <f>HYPERLINK("https://elefant.by/catalogue/158081797","Посмотреть на сайте ...")</f>
        <v>Посмотреть на сайте ...</v>
      </c>
    </row>
    <row r="890" spans="1:8" s="16" customFormat="1" x14ac:dyDescent="0.25">
      <c r="A890" s="17">
        <v>880</v>
      </c>
      <c r="B890" s="17" t="s">
        <v>21</v>
      </c>
      <c r="C890" s="17" t="s">
        <v>1115</v>
      </c>
      <c r="D890" s="18">
        <v>10</v>
      </c>
      <c r="E890" s="18">
        <v>0.88</v>
      </c>
      <c r="F890" s="18">
        <v>1.06</v>
      </c>
      <c r="G890" s="20" t="s">
        <v>1116</v>
      </c>
      <c r="H890" s="19" t="str">
        <f>HYPERLINK("https://elefant.by/catalogue/158081806","Посмотреть на сайте ...")</f>
        <v>Посмотреть на сайте ...</v>
      </c>
    </row>
    <row r="891" spans="1:8" s="16" customFormat="1" x14ac:dyDescent="0.25">
      <c r="A891" s="17">
        <v>881</v>
      </c>
      <c r="B891" s="17" t="s">
        <v>21</v>
      </c>
      <c r="C891" s="17" t="s">
        <v>1117</v>
      </c>
      <c r="D891" s="18">
        <v>10</v>
      </c>
      <c r="E891" s="18">
        <v>0.88</v>
      </c>
      <c r="F891" s="18">
        <v>1.06</v>
      </c>
      <c r="G891" s="20" t="s">
        <v>1118</v>
      </c>
      <c r="H891" s="19" t="str">
        <f>HYPERLINK("https://elefant.by/catalogue/158081800","Посмотреть на сайте ...")</f>
        <v>Посмотреть на сайте ...</v>
      </c>
    </row>
    <row r="892" spans="1:8" s="16" customFormat="1" x14ac:dyDescent="0.25">
      <c r="A892" s="17">
        <v>882</v>
      </c>
      <c r="B892" s="17" t="s">
        <v>21</v>
      </c>
      <c r="C892" s="17" t="s">
        <v>1119</v>
      </c>
      <c r="D892" s="18">
        <v>10</v>
      </c>
      <c r="E892" s="18">
        <v>0.88</v>
      </c>
      <c r="F892" s="18">
        <v>1.06</v>
      </c>
      <c r="G892" s="20" t="s">
        <v>1120</v>
      </c>
      <c r="H892" s="19" t="str">
        <f>HYPERLINK("https://elefant.by/catalogue/158081803","Посмотреть на сайте ...")</f>
        <v>Посмотреть на сайте ...</v>
      </c>
    </row>
    <row r="893" spans="1:8" s="16" customFormat="1" x14ac:dyDescent="0.25">
      <c r="A893" s="17">
        <v>883</v>
      </c>
      <c r="B893" s="17" t="s">
        <v>21</v>
      </c>
      <c r="C893" s="17" t="s">
        <v>1121</v>
      </c>
      <c r="D893" s="18">
        <v>10</v>
      </c>
      <c r="E893" s="18">
        <v>0.88</v>
      </c>
      <c r="F893" s="18">
        <v>1.06</v>
      </c>
      <c r="G893" s="20" t="s">
        <v>1122</v>
      </c>
      <c r="H893" s="19" t="str">
        <f>HYPERLINK("https://elefant.by/catalogue/156900217","Посмотреть на сайте ...")</f>
        <v>Посмотреть на сайте ...</v>
      </c>
    </row>
    <row r="894" spans="1:8" s="16" customFormat="1" x14ac:dyDescent="0.25">
      <c r="A894" s="17">
        <v>884</v>
      </c>
      <c r="B894" s="17" t="s">
        <v>12</v>
      </c>
      <c r="C894" s="17" t="s">
        <v>1123</v>
      </c>
      <c r="D894" s="18">
        <v>144</v>
      </c>
      <c r="E894" s="18">
        <v>0.43</v>
      </c>
      <c r="F894" s="18">
        <v>0.52</v>
      </c>
      <c r="G894" s="20" t="s">
        <v>1124</v>
      </c>
      <c r="H894" s="19" t="str">
        <f>HYPERLINK("https://elefant.by/catalogue/450945181","Посмотреть на сайте ...")</f>
        <v>Посмотреть на сайте ...</v>
      </c>
    </row>
    <row r="895" spans="1:8" s="16" customFormat="1" x14ac:dyDescent="0.25">
      <c r="A895" s="17">
        <v>885</v>
      </c>
      <c r="B895" s="17" t="s">
        <v>12</v>
      </c>
      <c r="C895" s="17" t="s">
        <v>1125</v>
      </c>
      <c r="D895" s="18">
        <v>144</v>
      </c>
      <c r="E895" s="18">
        <v>0.76</v>
      </c>
      <c r="F895" s="18">
        <v>0.91</v>
      </c>
      <c r="G895" s="20" t="s">
        <v>1126</v>
      </c>
      <c r="H895" s="19" t="str">
        <f>HYPERLINK("https://elefant.by/catalogue/450945182","Посмотреть на сайте ...")</f>
        <v>Посмотреть на сайте ...</v>
      </c>
    </row>
    <row r="896" spans="1:8" s="16" customFormat="1" x14ac:dyDescent="0.25">
      <c r="A896" s="17">
        <v>886</v>
      </c>
      <c r="B896" s="17" t="s">
        <v>12</v>
      </c>
      <c r="C896" s="17" t="s">
        <v>1127</v>
      </c>
      <c r="D896" s="18">
        <v>144</v>
      </c>
      <c r="E896" s="18">
        <v>0.76</v>
      </c>
      <c r="F896" s="18">
        <v>0.91</v>
      </c>
      <c r="G896" s="20" t="s">
        <v>1128</v>
      </c>
      <c r="H896" s="19" t="str">
        <f>HYPERLINK("https://elefant.by/catalogue/450945183","Посмотреть на сайте ...")</f>
        <v>Посмотреть на сайте ...</v>
      </c>
    </row>
    <row r="897" spans="1:8" s="16" customFormat="1" x14ac:dyDescent="0.25">
      <c r="A897" s="17">
        <v>887</v>
      </c>
      <c r="B897" s="17" t="s">
        <v>12</v>
      </c>
      <c r="C897" s="17" t="s">
        <v>1129</v>
      </c>
      <c r="D897" s="18">
        <v>144</v>
      </c>
      <c r="E897" s="18">
        <v>0.76</v>
      </c>
      <c r="F897" s="18">
        <v>0.91</v>
      </c>
      <c r="G897" s="20" t="s">
        <v>1130</v>
      </c>
      <c r="H897" s="19" t="str">
        <f>HYPERLINK("https://elefant.by/catalogue/450945184","Посмотреть на сайте ...")</f>
        <v>Посмотреть на сайте ...</v>
      </c>
    </row>
    <row r="898" spans="1:8" s="16" customFormat="1" x14ac:dyDescent="0.25">
      <c r="A898" s="17">
        <v>888</v>
      </c>
      <c r="B898" s="17" t="s">
        <v>21</v>
      </c>
      <c r="C898" s="17" t="s">
        <v>1131</v>
      </c>
      <c r="D898" s="18">
        <v>10</v>
      </c>
      <c r="E898" s="18">
        <v>0.83</v>
      </c>
      <c r="F898" s="18">
        <v>1</v>
      </c>
      <c r="G898" s="20" t="s">
        <v>1132</v>
      </c>
      <c r="H898" s="19" t="str">
        <f>HYPERLINK("https://elefant.by/catalogue/152945020","Посмотреть на сайте ...")</f>
        <v>Посмотреть на сайте ...</v>
      </c>
    </row>
    <row r="899" spans="1:8" s="16" customFormat="1" x14ac:dyDescent="0.25">
      <c r="A899" s="17">
        <v>889</v>
      </c>
      <c r="B899" s="17" t="s">
        <v>21</v>
      </c>
      <c r="C899" s="17" t="s">
        <v>1133</v>
      </c>
      <c r="D899" s="18">
        <v>10</v>
      </c>
      <c r="E899" s="18">
        <v>1.2</v>
      </c>
      <c r="F899" s="18">
        <v>1.44</v>
      </c>
      <c r="G899" s="20" t="s">
        <v>1134</v>
      </c>
      <c r="H899" s="19" t="str">
        <f>HYPERLINK("https://elefant.by/catalogue/158081785","Посмотреть на сайте ...")</f>
        <v>Посмотреть на сайте ...</v>
      </c>
    </row>
    <row r="900" spans="1:8" s="16" customFormat="1" x14ac:dyDescent="0.25">
      <c r="A900" s="17">
        <v>890</v>
      </c>
      <c r="B900" s="17" t="s">
        <v>21</v>
      </c>
      <c r="C900" s="17" t="s">
        <v>1135</v>
      </c>
      <c r="D900" s="18">
        <v>10</v>
      </c>
      <c r="E900" s="18">
        <v>0.67</v>
      </c>
      <c r="F900" s="18">
        <v>0.8</v>
      </c>
      <c r="G900" s="20" t="s">
        <v>1136</v>
      </c>
      <c r="H900" s="19" t="str">
        <f>HYPERLINK("https://elefant.by/catalogue/152945025","Посмотреть на сайте ...")</f>
        <v>Посмотреть на сайте ...</v>
      </c>
    </row>
    <row r="901" spans="1:8" s="16" customFormat="1" x14ac:dyDescent="0.25">
      <c r="A901" s="17">
        <v>891</v>
      </c>
      <c r="B901" s="17" t="s">
        <v>21</v>
      </c>
      <c r="C901" s="17" t="s">
        <v>1137</v>
      </c>
      <c r="D901" s="18">
        <v>10</v>
      </c>
      <c r="E901" s="18">
        <v>0.67</v>
      </c>
      <c r="F901" s="18">
        <v>0.8</v>
      </c>
      <c r="G901" s="20" t="s">
        <v>1138</v>
      </c>
      <c r="H901" s="19" t="str">
        <f>HYPERLINK("https://elefant.by/catalogue/150425773","Посмотреть на сайте ...")</f>
        <v>Посмотреть на сайте ...</v>
      </c>
    </row>
    <row r="902" spans="1:8" s="16" customFormat="1" x14ac:dyDescent="0.25">
      <c r="A902" s="17">
        <v>892</v>
      </c>
      <c r="B902" s="17" t="s">
        <v>21</v>
      </c>
      <c r="C902" s="17" t="s">
        <v>1139</v>
      </c>
      <c r="D902" s="18">
        <v>10</v>
      </c>
      <c r="E902" s="18">
        <v>0.67</v>
      </c>
      <c r="F902" s="18">
        <v>0.8</v>
      </c>
      <c r="G902" s="20" t="s">
        <v>1140</v>
      </c>
      <c r="H902" s="19" t="str">
        <f>HYPERLINK("https://elefant.by/catalogue/152945024","Посмотреть на сайте ...")</f>
        <v>Посмотреть на сайте ...</v>
      </c>
    </row>
    <row r="903" spans="1:8" s="16" customFormat="1" x14ac:dyDescent="0.25">
      <c r="A903" s="17">
        <v>893</v>
      </c>
      <c r="B903" s="17" t="s">
        <v>21</v>
      </c>
      <c r="C903" s="17" t="s">
        <v>1141</v>
      </c>
      <c r="D903" s="18">
        <v>10</v>
      </c>
      <c r="E903" s="18">
        <v>0.67</v>
      </c>
      <c r="F903" s="18">
        <v>0.8</v>
      </c>
      <c r="G903" s="20" t="s">
        <v>1142</v>
      </c>
      <c r="H903" s="19" t="str">
        <f>HYPERLINK("https://elefant.by/catalogue/511091814","Посмотреть на сайте ...")</f>
        <v>Посмотреть на сайте ...</v>
      </c>
    </row>
    <row r="904" spans="1:8" s="16" customFormat="1" x14ac:dyDescent="0.25">
      <c r="A904" s="17">
        <v>894</v>
      </c>
      <c r="B904" s="17" t="s">
        <v>21</v>
      </c>
      <c r="C904" s="17" t="s">
        <v>1143</v>
      </c>
      <c r="D904" s="18">
        <v>10</v>
      </c>
      <c r="E904" s="18">
        <v>0.67</v>
      </c>
      <c r="F904" s="18">
        <v>0.8</v>
      </c>
      <c r="G904" s="20" t="s">
        <v>1144</v>
      </c>
      <c r="H904" s="19" t="str">
        <f>HYPERLINK("https://elefant.by/catalogue/154102081","Посмотреть на сайте ...")</f>
        <v>Посмотреть на сайте ...</v>
      </c>
    </row>
    <row r="905" spans="1:8" s="16" customFormat="1" x14ac:dyDescent="0.25">
      <c r="A905" s="17">
        <v>895</v>
      </c>
      <c r="B905" s="17" t="s">
        <v>21</v>
      </c>
      <c r="C905" s="17" t="s">
        <v>1145</v>
      </c>
      <c r="D905" s="18">
        <v>10</v>
      </c>
      <c r="E905" s="18">
        <v>0.67</v>
      </c>
      <c r="F905" s="18">
        <v>0.8</v>
      </c>
      <c r="G905" s="20" t="s">
        <v>1146</v>
      </c>
      <c r="H905" s="19" t="str">
        <f>HYPERLINK("https://elefant.by/catalogue/175993769","Посмотреть на сайте ...")</f>
        <v>Посмотреть на сайте ...</v>
      </c>
    </row>
    <row r="906" spans="1:8" s="16" customFormat="1" x14ac:dyDescent="0.25">
      <c r="A906" s="17">
        <v>896</v>
      </c>
      <c r="B906" s="17" t="s">
        <v>21</v>
      </c>
      <c r="C906" s="17" t="s">
        <v>1147</v>
      </c>
      <c r="D906" s="18">
        <v>10</v>
      </c>
      <c r="E906" s="18">
        <v>0.67</v>
      </c>
      <c r="F906" s="18">
        <v>0.8</v>
      </c>
      <c r="G906" s="20" t="s">
        <v>1148</v>
      </c>
      <c r="H906" s="19" t="str">
        <f>HYPERLINK("https://elefant.by/catalogue/157658156","Посмотреть на сайте ...")</f>
        <v>Посмотреть на сайте ...</v>
      </c>
    </row>
    <row r="907" spans="1:8" s="16" customFormat="1" x14ac:dyDescent="0.25">
      <c r="A907" s="17">
        <v>897</v>
      </c>
      <c r="B907" s="17" t="s">
        <v>21</v>
      </c>
      <c r="C907" s="17" t="s">
        <v>1149</v>
      </c>
      <c r="D907" s="18">
        <v>12</v>
      </c>
      <c r="E907" s="18">
        <v>0.56000000000000005</v>
      </c>
      <c r="F907" s="18">
        <v>0.67</v>
      </c>
      <c r="G907" s="20" t="s">
        <v>1150</v>
      </c>
      <c r="H907" s="19" t="str">
        <f>HYPERLINK("https://elefant.by/catalogue/150421790","Посмотреть на сайте ...")</f>
        <v>Посмотреть на сайте ...</v>
      </c>
    </row>
    <row r="908" spans="1:8" s="16" customFormat="1" x14ac:dyDescent="0.25">
      <c r="A908" s="17">
        <v>898</v>
      </c>
      <c r="B908" s="17" t="s">
        <v>21</v>
      </c>
      <c r="C908" s="17" t="s">
        <v>1151</v>
      </c>
      <c r="D908" s="18">
        <v>12</v>
      </c>
      <c r="E908" s="18">
        <v>0.56000000000000005</v>
      </c>
      <c r="F908" s="18">
        <v>0.67</v>
      </c>
      <c r="G908" s="20" t="s">
        <v>1152</v>
      </c>
      <c r="H908" s="19" t="str">
        <f>HYPERLINK("https://elefant.by/catalogue/150421421","Посмотреть на сайте ...")</f>
        <v>Посмотреть на сайте ...</v>
      </c>
    </row>
    <row r="909" spans="1:8" s="16" customFormat="1" x14ac:dyDescent="0.25">
      <c r="A909" s="17">
        <v>899</v>
      </c>
      <c r="B909" s="17" t="s">
        <v>21</v>
      </c>
      <c r="C909" s="17" t="s">
        <v>1153</v>
      </c>
      <c r="D909" s="18">
        <v>12</v>
      </c>
      <c r="E909" s="18">
        <v>0.56000000000000005</v>
      </c>
      <c r="F909" s="18">
        <v>0.67</v>
      </c>
      <c r="G909" s="20" t="s">
        <v>1154</v>
      </c>
      <c r="H909" s="19" t="str">
        <f>HYPERLINK("https://elefant.by/catalogue/150421683","Посмотреть на сайте ...")</f>
        <v>Посмотреть на сайте ...</v>
      </c>
    </row>
    <row r="910" spans="1:8" s="16" customFormat="1" x14ac:dyDescent="0.25">
      <c r="A910" s="17">
        <v>900</v>
      </c>
      <c r="B910" s="17" t="s">
        <v>21</v>
      </c>
      <c r="C910" s="17" t="s">
        <v>1155</v>
      </c>
      <c r="D910" s="18">
        <v>12</v>
      </c>
      <c r="E910" s="18">
        <v>0.56000000000000005</v>
      </c>
      <c r="F910" s="18">
        <v>0.67</v>
      </c>
      <c r="G910" s="20" t="s">
        <v>1156</v>
      </c>
      <c r="H910" s="19" t="str">
        <f>HYPERLINK("https://elefant.by/catalogue/150421896","Посмотреть на сайте ...")</f>
        <v>Посмотреть на сайте ...</v>
      </c>
    </row>
    <row r="911" spans="1:8" s="16" customFormat="1" x14ac:dyDescent="0.25">
      <c r="A911" s="17">
        <v>901</v>
      </c>
      <c r="B911" s="17" t="s">
        <v>21</v>
      </c>
      <c r="C911" s="17" t="s">
        <v>1157</v>
      </c>
      <c r="D911" s="18">
        <v>10</v>
      </c>
      <c r="E911" s="18">
        <v>0.83</v>
      </c>
      <c r="F911" s="18">
        <v>1</v>
      </c>
      <c r="G911" s="20" t="s">
        <v>1158</v>
      </c>
      <c r="H911" s="19" t="str">
        <f>HYPERLINK("https://elefant.by/catalogue/157657858","Посмотреть на сайте ...")</f>
        <v>Посмотреть на сайте ...</v>
      </c>
    </row>
    <row r="912" spans="1:8" s="16" customFormat="1" x14ac:dyDescent="0.25">
      <c r="A912" s="17">
        <v>902</v>
      </c>
      <c r="B912" s="17" t="s">
        <v>21</v>
      </c>
      <c r="C912" s="17" t="s">
        <v>1159</v>
      </c>
      <c r="D912" s="18">
        <v>10</v>
      </c>
      <c r="E912" s="18">
        <v>0.83</v>
      </c>
      <c r="F912" s="18">
        <v>1</v>
      </c>
      <c r="G912" s="20" t="s">
        <v>1160</v>
      </c>
      <c r="H912" s="19" t="str">
        <f>HYPERLINK("https://elefant.by/catalogue/511091813","Посмотреть на сайте ...")</f>
        <v>Посмотреть на сайте ...</v>
      </c>
    </row>
    <row r="913" spans="1:8" s="16" customFormat="1" x14ac:dyDescent="0.25">
      <c r="A913" s="17">
        <v>903</v>
      </c>
      <c r="B913" s="17" t="s">
        <v>21</v>
      </c>
      <c r="C913" s="17" t="s">
        <v>1161</v>
      </c>
      <c r="D913" s="18">
        <v>10</v>
      </c>
      <c r="E913" s="18">
        <v>0.83</v>
      </c>
      <c r="F913" s="18">
        <v>1</v>
      </c>
      <c r="G913" s="20" t="s">
        <v>1162</v>
      </c>
      <c r="H913" s="19" t="str">
        <f>HYPERLINK("https://elefant.by/catalogue/157657848","Посмотреть на сайте ...")</f>
        <v>Посмотреть на сайте ...</v>
      </c>
    </row>
    <row r="914" spans="1:8" s="16" customFormat="1" x14ac:dyDescent="0.25">
      <c r="A914" s="17">
        <v>904</v>
      </c>
      <c r="B914" s="17" t="s">
        <v>21</v>
      </c>
      <c r="C914" s="17" t="s">
        <v>1163</v>
      </c>
      <c r="D914" s="18">
        <v>10</v>
      </c>
      <c r="E914" s="18">
        <v>0.83</v>
      </c>
      <c r="F914" s="18">
        <v>1</v>
      </c>
      <c r="G914" s="20" t="s">
        <v>1164</v>
      </c>
      <c r="H914" s="19" t="str">
        <f>HYPERLINK("https://elefant.by/catalogue/511091811","Посмотреть на сайте ...")</f>
        <v>Посмотреть на сайте ...</v>
      </c>
    </row>
    <row r="915" spans="1:8" s="16" customFormat="1" x14ac:dyDescent="0.25">
      <c r="A915" s="17">
        <v>905</v>
      </c>
      <c r="B915" s="17" t="s">
        <v>21</v>
      </c>
      <c r="C915" s="17" t="s">
        <v>1165</v>
      </c>
      <c r="D915" s="18">
        <v>10</v>
      </c>
      <c r="E915" s="18">
        <v>0.83</v>
      </c>
      <c r="F915" s="18">
        <v>1</v>
      </c>
      <c r="G915" s="20" t="s">
        <v>1166</v>
      </c>
      <c r="H915" s="19" t="str">
        <f>HYPERLINK("https://elefant.by/catalogue/147111994","Посмотреть на сайте ...")</f>
        <v>Посмотреть на сайте ...</v>
      </c>
    </row>
    <row r="916" spans="1:8" s="16" customFormat="1" x14ac:dyDescent="0.25">
      <c r="A916" s="17">
        <v>906</v>
      </c>
      <c r="B916" s="17" t="s">
        <v>21</v>
      </c>
      <c r="C916" s="17" t="s">
        <v>1167</v>
      </c>
      <c r="D916" s="18">
        <v>10</v>
      </c>
      <c r="E916" s="18">
        <v>0.83</v>
      </c>
      <c r="F916" s="18">
        <v>1</v>
      </c>
      <c r="G916" s="20" t="s">
        <v>1168</v>
      </c>
      <c r="H916" s="19" t="str">
        <f>HYPERLINK("https://elefant.by/catalogue/511091812","Посмотреть на сайте ...")</f>
        <v>Посмотреть на сайте ...</v>
      </c>
    </row>
    <row r="917" spans="1:8" s="16" customFormat="1" x14ac:dyDescent="0.25">
      <c r="A917" s="17">
        <v>907</v>
      </c>
      <c r="B917" s="17" t="s">
        <v>21</v>
      </c>
      <c r="C917" s="17" t="s">
        <v>1169</v>
      </c>
      <c r="D917" s="18">
        <v>10</v>
      </c>
      <c r="E917" s="18">
        <v>0.83</v>
      </c>
      <c r="F917" s="18">
        <v>1</v>
      </c>
      <c r="G917" s="20" t="s">
        <v>1170</v>
      </c>
      <c r="H917" s="19" t="str">
        <f>HYPERLINK("https://elefant.by/catalogue/147111965","Посмотреть на сайте ...")</f>
        <v>Посмотреть на сайте ...</v>
      </c>
    </row>
    <row r="918" spans="1:8" s="16" customFormat="1" x14ac:dyDescent="0.25">
      <c r="A918" s="17">
        <v>908</v>
      </c>
      <c r="B918" s="17" t="s">
        <v>21</v>
      </c>
      <c r="C918" s="17" t="s">
        <v>1171</v>
      </c>
      <c r="D918" s="18">
        <v>10</v>
      </c>
      <c r="E918" s="18">
        <v>0.93</v>
      </c>
      <c r="F918" s="18">
        <v>1.1200000000000001</v>
      </c>
      <c r="G918" s="20" t="s">
        <v>1172</v>
      </c>
      <c r="H918" s="19" t="str">
        <f>HYPERLINK("https://elefant.by/catalogue/152944663","Посмотреть на сайте ...")</f>
        <v>Посмотреть на сайте ...</v>
      </c>
    </row>
    <row r="919" spans="1:8" s="16" customFormat="1" x14ac:dyDescent="0.25">
      <c r="A919" s="17">
        <v>909</v>
      </c>
      <c r="B919" s="17" t="s">
        <v>21</v>
      </c>
      <c r="C919" s="17" t="s">
        <v>1173</v>
      </c>
      <c r="D919" s="18">
        <v>10</v>
      </c>
      <c r="E919" s="18">
        <v>6.71</v>
      </c>
      <c r="F919" s="18">
        <v>8.0500000000000007</v>
      </c>
      <c r="G919" s="20" t="s">
        <v>1174</v>
      </c>
      <c r="H919" s="19" t="str">
        <f>HYPERLINK("https://elefant.by/catalogue/147110778","Посмотреть на сайте ...")</f>
        <v>Посмотреть на сайте ...</v>
      </c>
    </row>
    <row r="920" spans="1:8" s="16" customFormat="1" x14ac:dyDescent="0.25">
      <c r="A920" s="17">
        <v>910</v>
      </c>
      <c r="B920" s="17" t="s">
        <v>21</v>
      </c>
      <c r="C920" s="17" t="s">
        <v>1175</v>
      </c>
      <c r="D920" s="18">
        <v>10</v>
      </c>
      <c r="E920" s="18">
        <v>5.51</v>
      </c>
      <c r="F920" s="18">
        <v>6.61</v>
      </c>
      <c r="G920" s="20" t="s">
        <v>1176</v>
      </c>
      <c r="H920" s="19" t="str">
        <f>HYPERLINK("https://elefant.by/catalogue/157657801","Посмотреть на сайте ...")</f>
        <v>Посмотреть на сайте ...</v>
      </c>
    </row>
    <row r="921" spans="1:8" s="16" customFormat="1" x14ac:dyDescent="0.25">
      <c r="A921" s="17">
        <v>911</v>
      </c>
      <c r="B921" s="17" t="s">
        <v>20</v>
      </c>
      <c r="C921" s="17" t="s">
        <v>1177</v>
      </c>
      <c r="D921" s="18">
        <v>12</v>
      </c>
      <c r="E921" s="18">
        <v>1.74</v>
      </c>
      <c r="F921" s="18">
        <v>2.09</v>
      </c>
      <c r="G921" s="20" t="s">
        <v>1178</v>
      </c>
      <c r="H921" s="19" t="str">
        <f>HYPERLINK("https://elefant.by/catalogue/541849768","Посмотреть на сайте ...")</f>
        <v>Посмотреть на сайте ...</v>
      </c>
    </row>
    <row r="922" spans="1:8" s="16" customFormat="1" x14ac:dyDescent="0.25">
      <c r="A922" s="17">
        <v>912</v>
      </c>
      <c r="B922" s="17" t="s">
        <v>12</v>
      </c>
      <c r="C922" s="17" t="s">
        <v>3253</v>
      </c>
      <c r="D922" s="18">
        <v>4</v>
      </c>
      <c r="E922" s="18">
        <v>4.2</v>
      </c>
      <c r="F922" s="18">
        <v>5.04</v>
      </c>
      <c r="G922" s="20" t="s">
        <v>4370</v>
      </c>
      <c r="H922" s="19" t="str">
        <f>HYPERLINK("https://elefant.by/catalogue/628873305","Посмотреть на сайте ...")</f>
        <v>Посмотреть на сайте ...</v>
      </c>
    </row>
    <row r="923" spans="1:8" s="16" customFormat="1" x14ac:dyDescent="0.25">
      <c r="A923" s="17">
        <v>913</v>
      </c>
      <c r="B923" s="17" t="s">
        <v>21</v>
      </c>
      <c r="C923" s="17" t="s">
        <v>1179</v>
      </c>
      <c r="D923" s="18">
        <v>20</v>
      </c>
      <c r="E923" s="18">
        <v>2.31</v>
      </c>
      <c r="F923" s="18">
        <v>2.77</v>
      </c>
      <c r="G923" s="20" t="s">
        <v>1180</v>
      </c>
      <c r="H923" s="19" t="str">
        <f>HYPERLINK("https://elefant.by/catalogue/179580540","Посмотреть на сайте ...")</f>
        <v>Посмотреть на сайте ...</v>
      </c>
    </row>
    <row r="924" spans="1:8" s="16" customFormat="1" x14ac:dyDescent="0.25">
      <c r="A924" s="17">
        <v>914</v>
      </c>
      <c r="B924" s="17" t="s">
        <v>21</v>
      </c>
      <c r="C924" s="17" t="s">
        <v>1181</v>
      </c>
      <c r="D924" s="18">
        <v>10</v>
      </c>
      <c r="E924" s="18">
        <v>4.03</v>
      </c>
      <c r="F924" s="18">
        <v>4.84</v>
      </c>
      <c r="G924" s="20" t="s">
        <v>1182</v>
      </c>
      <c r="H924" s="19" t="str">
        <f>HYPERLINK("https://elefant.by/catalogue/149830976","Посмотреть на сайте ...")</f>
        <v>Посмотреть на сайте ...</v>
      </c>
    </row>
    <row r="925" spans="1:8" s="16" customFormat="1" x14ac:dyDescent="0.25">
      <c r="A925" s="17">
        <v>915</v>
      </c>
      <c r="B925" s="17" t="s">
        <v>21</v>
      </c>
      <c r="C925" s="17" t="s">
        <v>3254</v>
      </c>
      <c r="D925" s="18">
        <v>10</v>
      </c>
      <c r="E925" s="18">
        <v>5.79</v>
      </c>
      <c r="F925" s="18">
        <v>6.95</v>
      </c>
      <c r="G925" s="20" t="s">
        <v>4371</v>
      </c>
      <c r="H925" s="19" t="str">
        <f>HYPERLINK("https://elefant.by/catalogue/665671145","Посмотреть на сайте ...")</f>
        <v>Посмотреть на сайте ...</v>
      </c>
    </row>
    <row r="926" spans="1:8" s="16" customFormat="1" x14ac:dyDescent="0.25">
      <c r="A926" s="17">
        <v>916</v>
      </c>
      <c r="B926" s="17" t="s">
        <v>3137</v>
      </c>
      <c r="C926" s="17" t="s">
        <v>3255</v>
      </c>
      <c r="D926" s="18">
        <v>45</v>
      </c>
      <c r="E926" s="18">
        <v>0.32</v>
      </c>
      <c r="F926" s="18">
        <v>0.38</v>
      </c>
      <c r="G926" s="20" t="s">
        <v>4372</v>
      </c>
      <c r="H926" s="19" t="str">
        <f>HYPERLINK("https://elefant.by/catalogue/505960229","Посмотреть на сайте ...")</f>
        <v>Посмотреть на сайте ...</v>
      </c>
    </row>
    <row r="927" spans="1:8" s="16" customFormat="1" x14ac:dyDescent="0.25">
      <c r="A927" s="17">
        <v>917</v>
      </c>
      <c r="B927" s="17" t="s">
        <v>24</v>
      </c>
      <c r="C927" s="17" t="s">
        <v>3256</v>
      </c>
      <c r="D927" s="18">
        <v>1</v>
      </c>
      <c r="E927" s="18">
        <v>7.39</v>
      </c>
      <c r="F927" s="18">
        <v>8.8699999999999992</v>
      </c>
      <c r="G927" s="20" t="s">
        <v>4373</v>
      </c>
      <c r="H927" s="19" t="str">
        <f>HYPERLINK("https://elefant.by/catalogue/460937955","Посмотреть на сайте ...")</f>
        <v>Посмотреть на сайте ...</v>
      </c>
    </row>
    <row r="928" spans="1:8" s="16" customFormat="1" x14ac:dyDescent="0.25">
      <c r="A928" s="17">
        <v>918</v>
      </c>
      <c r="B928" s="17" t="s">
        <v>3257</v>
      </c>
      <c r="C928" s="17" t="s">
        <v>3258</v>
      </c>
      <c r="D928" s="18">
        <v>8</v>
      </c>
      <c r="E928" s="18">
        <v>4.08</v>
      </c>
      <c r="F928" s="18">
        <v>4.9000000000000004</v>
      </c>
      <c r="G928" s="20" t="s">
        <v>4374</v>
      </c>
      <c r="H928" s="19" t="str">
        <f>HYPERLINK("https://elefant.by/catalogue/680016447","Посмотреть на сайте ...")</f>
        <v>Посмотреть на сайте ...</v>
      </c>
    </row>
    <row r="929" spans="1:8" s="16" customFormat="1" x14ac:dyDescent="0.25">
      <c r="A929" s="17">
        <v>919</v>
      </c>
      <c r="B929" s="17" t="s">
        <v>1183</v>
      </c>
      <c r="C929" s="17" t="s">
        <v>1184</v>
      </c>
      <c r="D929" s="18">
        <v>50</v>
      </c>
      <c r="E929" s="18">
        <v>73.680000000000007</v>
      </c>
      <c r="F929" s="18">
        <v>88.42</v>
      </c>
      <c r="G929" s="20" t="s">
        <v>1185</v>
      </c>
      <c r="H929" s="19" t="str">
        <f>HYPERLINK("https://elefant.by/catalogue/169546520","Посмотреть на сайте ...")</f>
        <v>Посмотреть на сайте ...</v>
      </c>
    </row>
    <row r="930" spans="1:8" s="16" customFormat="1" x14ac:dyDescent="0.25">
      <c r="A930" s="17">
        <v>920</v>
      </c>
      <c r="B930" s="17" t="s">
        <v>1183</v>
      </c>
      <c r="C930" s="17" t="s">
        <v>1186</v>
      </c>
      <c r="D930" s="18">
        <v>100</v>
      </c>
      <c r="E930" s="18">
        <v>36.24</v>
      </c>
      <c r="F930" s="18">
        <v>43.49</v>
      </c>
      <c r="G930" s="20" t="s">
        <v>1187</v>
      </c>
      <c r="H930" s="19" t="str">
        <f>HYPERLINK("https://elefant.by/catalogue/550090011","Посмотреть на сайте ...")</f>
        <v>Посмотреть на сайте ...</v>
      </c>
    </row>
    <row r="931" spans="1:8" s="16" customFormat="1" x14ac:dyDescent="0.25">
      <c r="A931" s="17">
        <v>921</v>
      </c>
      <c r="B931" s="17" t="s">
        <v>126</v>
      </c>
      <c r="C931" s="17" t="s">
        <v>3259</v>
      </c>
      <c r="D931" s="18">
        <v>25</v>
      </c>
      <c r="E931" s="18">
        <v>0.13</v>
      </c>
      <c r="F931" s="18">
        <v>0.16</v>
      </c>
      <c r="G931" s="20" t="s">
        <v>4375</v>
      </c>
      <c r="H931" s="19" t="str">
        <f>HYPERLINK("https://elefant.by/catalogue/445238147","Посмотреть на сайте ...")</f>
        <v>Посмотреть на сайте ...</v>
      </c>
    </row>
    <row r="932" spans="1:8" s="16" customFormat="1" x14ac:dyDescent="0.25">
      <c r="A932" s="17">
        <v>922</v>
      </c>
      <c r="B932" s="17" t="s">
        <v>126</v>
      </c>
      <c r="C932" s="17" t="s">
        <v>3260</v>
      </c>
      <c r="D932" s="18">
        <v>25</v>
      </c>
      <c r="E932" s="18">
        <v>0.13</v>
      </c>
      <c r="F932" s="18">
        <v>0.16</v>
      </c>
      <c r="G932" s="20" t="s">
        <v>4376</v>
      </c>
      <c r="H932" s="19" t="str">
        <f>HYPERLINK("https://elefant.by/catalogue/445238148","Посмотреть на сайте ...")</f>
        <v>Посмотреть на сайте ...</v>
      </c>
    </row>
    <row r="933" spans="1:8" s="16" customFormat="1" x14ac:dyDescent="0.25">
      <c r="A933" s="17">
        <v>923</v>
      </c>
      <c r="B933" s="17" t="s">
        <v>126</v>
      </c>
      <c r="C933" s="17" t="s">
        <v>3261</v>
      </c>
      <c r="D933" s="18">
        <v>25</v>
      </c>
      <c r="E933" s="18">
        <v>0.13</v>
      </c>
      <c r="F933" s="18">
        <v>0.16</v>
      </c>
      <c r="G933" s="20" t="s">
        <v>4377</v>
      </c>
      <c r="H933" s="19" t="str">
        <f>HYPERLINK("https://elefant.by/catalogue/445238149","Посмотреть на сайте ...")</f>
        <v>Посмотреть на сайте ...</v>
      </c>
    </row>
    <row r="934" spans="1:8" s="16" customFormat="1" x14ac:dyDescent="0.25">
      <c r="A934" s="17">
        <v>924</v>
      </c>
      <c r="B934" s="17" t="s">
        <v>318</v>
      </c>
      <c r="C934" s="17" t="s">
        <v>3262</v>
      </c>
      <c r="D934" s="18">
        <v>12</v>
      </c>
      <c r="E934" s="18">
        <v>2.62</v>
      </c>
      <c r="F934" s="18">
        <v>3.14</v>
      </c>
      <c r="G934" s="20" t="s">
        <v>4378</v>
      </c>
      <c r="H934" s="19" t="str">
        <f>HYPERLINK("https://elefant.by/catalogue/590548269","Посмотреть на сайте ...")</f>
        <v>Посмотреть на сайте ...</v>
      </c>
    </row>
    <row r="935" spans="1:8" s="16" customFormat="1" x14ac:dyDescent="0.25">
      <c r="A935" s="17">
        <v>925</v>
      </c>
      <c r="B935" s="17" t="s">
        <v>318</v>
      </c>
      <c r="C935" s="17" t="s">
        <v>3263</v>
      </c>
      <c r="D935" s="18">
        <v>12</v>
      </c>
      <c r="E935" s="18">
        <v>4.7699999999999996</v>
      </c>
      <c r="F935" s="18">
        <v>5.72</v>
      </c>
      <c r="G935" s="20" t="s">
        <v>4379</v>
      </c>
      <c r="H935" s="19" t="str">
        <f>HYPERLINK("https://elefant.by/catalogue/660879840","Посмотреть на сайте ...")</f>
        <v>Посмотреть на сайте ...</v>
      </c>
    </row>
    <row r="936" spans="1:8" s="16" customFormat="1" x14ac:dyDescent="0.25">
      <c r="A936" s="17">
        <v>926</v>
      </c>
      <c r="B936" s="17" t="s">
        <v>318</v>
      </c>
      <c r="C936" s="17" t="s">
        <v>3264</v>
      </c>
      <c r="D936" s="18">
        <v>12</v>
      </c>
      <c r="E936" s="18">
        <v>4.7699999999999996</v>
      </c>
      <c r="F936" s="18">
        <v>5.72</v>
      </c>
      <c r="G936" s="20" t="s">
        <v>4380</v>
      </c>
      <c r="H936" s="19" t="str">
        <f>HYPERLINK("https://elefant.by/catalogue/660453132","Посмотреть на сайте ...")</f>
        <v>Посмотреть на сайте ...</v>
      </c>
    </row>
    <row r="937" spans="1:8" s="16" customFormat="1" x14ac:dyDescent="0.25">
      <c r="A937" s="17">
        <v>927</v>
      </c>
      <c r="B937" s="17" t="s">
        <v>158</v>
      </c>
      <c r="C937" s="17" t="s">
        <v>1188</v>
      </c>
      <c r="D937" s="18">
        <v>10</v>
      </c>
      <c r="E937" s="18">
        <v>5.86</v>
      </c>
      <c r="F937" s="18">
        <v>7.03</v>
      </c>
      <c r="G937" s="20" t="s">
        <v>1189</v>
      </c>
      <c r="H937" s="19" t="str">
        <f>HYPERLINK("https://elefant.by/catalogue/535562816","Посмотреть на сайте ...")</f>
        <v>Посмотреть на сайте ...</v>
      </c>
    </row>
    <row r="938" spans="1:8" s="16" customFormat="1" x14ac:dyDescent="0.25">
      <c r="A938" s="17">
        <v>928</v>
      </c>
      <c r="B938" s="17" t="s">
        <v>158</v>
      </c>
      <c r="C938" s="17" t="s">
        <v>3265</v>
      </c>
      <c r="D938" s="18">
        <v>1</v>
      </c>
      <c r="E938" s="18">
        <v>5.96</v>
      </c>
      <c r="F938" s="18">
        <v>7.15</v>
      </c>
      <c r="G938" s="20" t="s">
        <v>4381</v>
      </c>
      <c r="H938" s="19" t="str">
        <f>HYPERLINK("https://elefant.by/catalogue/527859572","Посмотреть на сайте ...")</f>
        <v>Посмотреть на сайте ...</v>
      </c>
    </row>
    <row r="939" spans="1:8" s="16" customFormat="1" x14ac:dyDescent="0.25">
      <c r="A939" s="17">
        <v>929</v>
      </c>
      <c r="B939" s="17" t="s">
        <v>158</v>
      </c>
      <c r="C939" s="17" t="s">
        <v>1190</v>
      </c>
      <c r="D939" s="18">
        <v>1</v>
      </c>
      <c r="E939" s="18">
        <v>4.63</v>
      </c>
      <c r="F939" s="18">
        <v>5.56</v>
      </c>
      <c r="G939" s="20" t="s">
        <v>1191</v>
      </c>
      <c r="H939" s="19" t="str">
        <f>HYPERLINK("https://elefant.by/catalogue/502529041","Посмотреть на сайте ...")</f>
        <v>Посмотреть на сайте ...</v>
      </c>
    </row>
    <row r="940" spans="1:8" s="16" customFormat="1" x14ac:dyDescent="0.25">
      <c r="A940" s="17">
        <v>930</v>
      </c>
      <c r="B940" s="17" t="s">
        <v>158</v>
      </c>
      <c r="C940" s="17" t="s">
        <v>1192</v>
      </c>
      <c r="D940" s="18">
        <v>1</v>
      </c>
      <c r="E940" s="18">
        <v>0.51</v>
      </c>
      <c r="F940" s="18">
        <v>0.61</v>
      </c>
      <c r="G940" s="20" t="s">
        <v>1193</v>
      </c>
      <c r="H940" s="19" t="str">
        <f>HYPERLINK("https://elefant.by/catalogue/572634522","Посмотреть на сайте ...")</f>
        <v>Посмотреть на сайте ...</v>
      </c>
    </row>
    <row r="941" spans="1:8" s="16" customFormat="1" x14ac:dyDescent="0.25">
      <c r="A941" s="17">
        <v>931</v>
      </c>
      <c r="B941" s="17" t="s">
        <v>158</v>
      </c>
      <c r="C941" s="17" t="s">
        <v>3266</v>
      </c>
      <c r="D941" s="18">
        <v>1</v>
      </c>
      <c r="E941" s="18">
        <v>1.05</v>
      </c>
      <c r="F941" s="18">
        <v>1.26</v>
      </c>
      <c r="G941" s="20" t="s">
        <v>4382</v>
      </c>
      <c r="H941" s="19" t="str">
        <f>HYPERLINK("https://elefant.by/catalogue/516467120","Посмотреть на сайте ...")</f>
        <v>Посмотреть на сайте ...</v>
      </c>
    </row>
    <row r="942" spans="1:8" s="16" customFormat="1" x14ac:dyDescent="0.25">
      <c r="A942" s="17">
        <v>932</v>
      </c>
      <c r="B942" s="17" t="s">
        <v>227</v>
      </c>
      <c r="C942" s="17" t="s">
        <v>1194</v>
      </c>
      <c r="D942" s="18">
        <v>1</v>
      </c>
      <c r="E942" s="18">
        <v>6.74</v>
      </c>
      <c r="F942" s="18">
        <v>8.09</v>
      </c>
      <c r="G942" s="20" t="s">
        <v>1195</v>
      </c>
      <c r="H942" s="19" t="str">
        <f>HYPERLINK("https://elefant.by/catalogue/599285052","Посмотреть на сайте ...")</f>
        <v>Посмотреть на сайте ...</v>
      </c>
    </row>
    <row r="943" spans="1:8" s="16" customFormat="1" x14ac:dyDescent="0.25">
      <c r="A943" s="17">
        <v>933</v>
      </c>
      <c r="B943" s="17" t="s">
        <v>227</v>
      </c>
      <c r="C943" s="17" t="s">
        <v>3267</v>
      </c>
      <c r="D943" s="18">
        <v>1</v>
      </c>
      <c r="E943" s="18">
        <v>8.0299999999999994</v>
      </c>
      <c r="F943" s="18">
        <v>9.64</v>
      </c>
      <c r="G943" s="20" t="s">
        <v>4383</v>
      </c>
      <c r="H943" s="19" t="str">
        <f>HYPERLINK("https://elefant.by/catalogue/654516164","Посмотреть на сайте ...")</f>
        <v>Посмотреть на сайте ...</v>
      </c>
    </row>
    <row r="944" spans="1:8" s="16" customFormat="1" x14ac:dyDescent="0.25">
      <c r="A944" s="17">
        <v>934</v>
      </c>
      <c r="B944" s="17" t="s">
        <v>227</v>
      </c>
      <c r="C944" s="17" t="s">
        <v>3268</v>
      </c>
      <c r="D944" s="18">
        <v>1</v>
      </c>
      <c r="E944" s="18">
        <v>2.85</v>
      </c>
      <c r="F944" s="18">
        <v>3.42</v>
      </c>
      <c r="G944" s="20" t="s">
        <v>4384</v>
      </c>
      <c r="H944" s="19" t="str">
        <f>HYPERLINK("https://elefant.by/catalogue/654516163","Посмотреть на сайте ...")</f>
        <v>Посмотреть на сайте ...</v>
      </c>
    </row>
    <row r="945" spans="1:8" s="16" customFormat="1" x14ac:dyDescent="0.25">
      <c r="A945" s="17">
        <v>935</v>
      </c>
      <c r="B945" s="17" t="s">
        <v>66</v>
      </c>
      <c r="C945" s="17" t="s">
        <v>3269</v>
      </c>
      <c r="D945" s="18">
        <v>40</v>
      </c>
      <c r="E945" s="18">
        <v>2.0499999999999998</v>
      </c>
      <c r="F945" s="18">
        <v>2.46</v>
      </c>
      <c r="G945" s="20" t="s">
        <v>4385</v>
      </c>
      <c r="H945" s="19" t="str">
        <f>HYPERLINK("https://elefant.by/catalogue/150699788","Посмотреть на сайте ...")</f>
        <v>Посмотреть на сайте ...</v>
      </c>
    </row>
    <row r="946" spans="1:8" s="16" customFormat="1" x14ac:dyDescent="0.25">
      <c r="A946" s="17">
        <v>936</v>
      </c>
      <c r="B946" s="17" t="s">
        <v>66</v>
      </c>
      <c r="C946" s="17" t="s">
        <v>3270</v>
      </c>
      <c r="D946" s="18">
        <v>100</v>
      </c>
      <c r="E946" s="18">
        <v>1.0900000000000001</v>
      </c>
      <c r="F946" s="18">
        <v>1.31</v>
      </c>
      <c r="G946" s="20" t="s">
        <v>4386</v>
      </c>
      <c r="H946" s="19" t="str">
        <f>HYPERLINK("https://elefant.by/catalogue/148082173","Посмотреть на сайте ...")</f>
        <v>Посмотреть на сайте ...</v>
      </c>
    </row>
    <row r="947" spans="1:8" s="16" customFormat="1" x14ac:dyDescent="0.25">
      <c r="A947" s="17">
        <v>937</v>
      </c>
      <c r="B947" s="17" t="s">
        <v>66</v>
      </c>
      <c r="C947" s="17" t="s">
        <v>3271</v>
      </c>
      <c r="D947" s="18">
        <v>48</v>
      </c>
      <c r="E947" s="18">
        <v>1.39</v>
      </c>
      <c r="F947" s="18">
        <v>1.67</v>
      </c>
      <c r="G947" s="20" t="s">
        <v>4387</v>
      </c>
      <c r="H947" s="19" t="str">
        <f>HYPERLINK("https://elefant.by/catalogue/148082174","Посмотреть на сайте ...")</f>
        <v>Посмотреть на сайте ...</v>
      </c>
    </row>
    <row r="948" spans="1:8" s="16" customFormat="1" x14ac:dyDescent="0.25">
      <c r="A948" s="17">
        <v>938</v>
      </c>
      <c r="B948" s="17" t="s">
        <v>12</v>
      </c>
      <c r="C948" s="17" t="s">
        <v>3272</v>
      </c>
      <c r="D948" s="18">
        <v>12</v>
      </c>
      <c r="E948" s="18">
        <v>3.22</v>
      </c>
      <c r="F948" s="18">
        <v>3.86</v>
      </c>
      <c r="G948" s="20" t="s">
        <v>4388</v>
      </c>
      <c r="H948" s="19" t="str">
        <f>HYPERLINK("https://elefant.by/catalogue/685445007","Посмотреть на сайте ...")</f>
        <v>Посмотреть на сайте ...</v>
      </c>
    </row>
    <row r="949" spans="1:8" s="16" customFormat="1" x14ac:dyDescent="0.25">
      <c r="A949" s="17">
        <v>939</v>
      </c>
      <c r="B949" s="17" t="s">
        <v>66</v>
      </c>
      <c r="C949" s="17" t="s">
        <v>3273</v>
      </c>
      <c r="D949" s="18">
        <v>60</v>
      </c>
      <c r="E949" s="18">
        <v>1.77</v>
      </c>
      <c r="F949" s="18">
        <v>2.12</v>
      </c>
      <c r="G949" s="20" t="s">
        <v>4389</v>
      </c>
      <c r="H949" s="19" t="str">
        <f>HYPERLINK("https://elefant.by/catalogue/147110139","Посмотреть на сайте ...")</f>
        <v>Посмотреть на сайте ...</v>
      </c>
    </row>
    <row r="950" spans="1:8" s="16" customFormat="1" x14ac:dyDescent="0.25">
      <c r="A950" s="17">
        <v>940</v>
      </c>
      <c r="B950" s="17" t="s">
        <v>63</v>
      </c>
      <c r="C950" s="17" t="s">
        <v>1196</v>
      </c>
      <c r="D950" s="18">
        <v>1</v>
      </c>
      <c r="E950" s="18">
        <v>7.54</v>
      </c>
      <c r="F950" s="18">
        <v>9.0500000000000007</v>
      </c>
      <c r="G950" s="20" t="s">
        <v>1197</v>
      </c>
      <c r="H950" s="19" t="str">
        <f>HYPERLINK("https://elefant.by/catalogue/454862887","Посмотреть на сайте ...")</f>
        <v>Посмотреть на сайте ...</v>
      </c>
    </row>
    <row r="951" spans="1:8" s="16" customFormat="1" x14ac:dyDescent="0.25">
      <c r="A951" s="17">
        <v>941</v>
      </c>
      <c r="B951" s="17" t="s">
        <v>63</v>
      </c>
      <c r="C951" s="17" t="s">
        <v>1198</v>
      </c>
      <c r="D951" s="18">
        <v>1</v>
      </c>
      <c r="E951" s="18">
        <v>10.88</v>
      </c>
      <c r="F951" s="18">
        <v>13.06</v>
      </c>
      <c r="G951" s="20" t="s">
        <v>1199</v>
      </c>
      <c r="H951" s="19" t="str">
        <f>HYPERLINK("https://elefant.by/catalogue/454862886","Посмотреть на сайте ...")</f>
        <v>Посмотреть на сайте ...</v>
      </c>
    </row>
    <row r="952" spans="1:8" s="16" customFormat="1" x14ac:dyDescent="0.25">
      <c r="A952" s="17">
        <v>942</v>
      </c>
      <c r="B952" s="17" t="s">
        <v>9</v>
      </c>
      <c r="C952" s="17" t="s">
        <v>1200</v>
      </c>
      <c r="D952" s="18">
        <v>48</v>
      </c>
      <c r="E952" s="18">
        <v>17.190000000000001</v>
      </c>
      <c r="F952" s="18">
        <v>20.63</v>
      </c>
      <c r="G952" s="20" t="s">
        <v>1201</v>
      </c>
      <c r="H952" s="19" t="str">
        <f>HYPERLINK("https://elefant.by/catalogue/168287762","Посмотреть на сайте ...")</f>
        <v>Посмотреть на сайте ...</v>
      </c>
    </row>
    <row r="953" spans="1:8" s="16" customFormat="1" x14ac:dyDescent="0.25">
      <c r="A953" s="17">
        <v>943</v>
      </c>
      <c r="B953" s="17" t="s">
        <v>9</v>
      </c>
      <c r="C953" s="17" t="s">
        <v>1202</v>
      </c>
      <c r="D953" s="18">
        <v>24</v>
      </c>
      <c r="E953" s="18">
        <v>20.399999999999999</v>
      </c>
      <c r="F953" s="18">
        <v>24.48</v>
      </c>
      <c r="G953" s="20" t="s">
        <v>1203</v>
      </c>
      <c r="H953" s="19" t="str">
        <f>HYPERLINK("https://elefant.by/catalogue/167938244","Посмотреть на сайте ...")</f>
        <v>Посмотреть на сайте ...</v>
      </c>
    </row>
    <row r="954" spans="1:8" s="16" customFormat="1" x14ac:dyDescent="0.25">
      <c r="A954" s="17">
        <v>944</v>
      </c>
      <c r="B954" s="17" t="s">
        <v>9</v>
      </c>
      <c r="C954" s="17" t="s">
        <v>1204</v>
      </c>
      <c r="D954" s="18">
        <v>1</v>
      </c>
      <c r="E954" s="18">
        <v>15.64</v>
      </c>
      <c r="F954" s="18">
        <v>18.77</v>
      </c>
      <c r="G954" s="20" t="s">
        <v>1205</v>
      </c>
      <c r="H954" s="19" t="str">
        <f>HYPERLINK("https://elefant.by/catalogue/168287761","Посмотреть на сайте ...")</f>
        <v>Посмотреть на сайте ...</v>
      </c>
    </row>
    <row r="955" spans="1:8" s="16" customFormat="1" x14ac:dyDescent="0.25">
      <c r="A955" s="17">
        <v>945</v>
      </c>
      <c r="B955" s="17" t="s">
        <v>9</v>
      </c>
      <c r="C955" s="17" t="s">
        <v>1206</v>
      </c>
      <c r="D955" s="18">
        <v>36</v>
      </c>
      <c r="E955" s="18">
        <v>20.12</v>
      </c>
      <c r="F955" s="18">
        <v>24.14</v>
      </c>
      <c r="G955" s="20" t="s">
        <v>1207</v>
      </c>
      <c r="H955" s="19" t="str">
        <f>HYPERLINK("https://elefant.by/catalogue/148759662","Посмотреть на сайте ...")</f>
        <v>Посмотреть на сайте ...</v>
      </c>
    </row>
    <row r="956" spans="1:8" s="16" customFormat="1" x14ac:dyDescent="0.25">
      <c r="A956" s="17">
        <v>946</v>
      </c>
      <c r="B956" s="17" t="s">
        <v>1208</v>
      </c>
      <c r="C956" s="17" t="s">
        <v>1209</v>
      </c>
      <c r="D956" s="18">
        <v>1</v>
      </c>
      <c r="E956" s="18">
        <v>160.71</v>
      </c>
      <c r="F956" s="18">
        <v>192.85</v>
      </c>
      <c r="G956" s="20" t="s">
        <v>1210</v>
      </c>
      <c r="H956" s="19" t="str">
        <f>HYPERLINK("https://elefant.by/catalogue/491241469","Посмотреть на сайте ...")</f>
        <v>Посмотреть на сайте ...</v>
      </c>
    </row>
    <row r="957" spans="1:8" s="16" customFormat="1" x14ac:dyDescent="0.25">
      <c r="A957" s="17">
        <v>947</v>
      </c>
      <c r="B957" s="17" t="s">
        <v>3274</v>
      </c>
      <c r="C957" s="17" t="s">
        <v>3275</v>
      </c>
      <c r="D957" s="18">
        <v>1</v>
      </c>
      <c r="E957" s="18">
        <v>154.71</v>
      </c>
      <c r="F957" s="18">
        <v>185.65</v>
      </c>
      <c r="G957" s="20" t="s">
        <v>4390</v>
      </c>
      <c r="H957" s="19" t="str">
        <f>HYPERLINK("https://elefant.by/catalogue/701787831","Посмотреть на сайте ...")</f>
        <v>Посмотреть на сайте ...</v>
      </c>
    </row>
    <row r="958" spans="1:8" s="16" customFormat="1" x14ac:dyDescent="0.25">
      <c r="A958" s="17">
        <v>948</v>
      </c>
      <c r="B958" s="17" t="s">
        <v>3274</v>
      </c>
      <c r="C958" s="17" t="s">
        <v>3276</v>
      </c>
      <c r="D958" s="18">
        <v>1</v>
      </c>
      <c r="E958" s="18">
        <v>81.61</v>
      </c>
      <c r="F958" s="18">
        <v>97.93</v>
      </c>
      <c r="G958" s="20" t="s">
        <v>4391</v>
      </c>
      <c r="H958" s="19" t="str">
        <f>HYPERLINK("https://elefant.by/catalogue/585408195","Посмотреть на сайте ...")</f>
        <v>Посмотреть на сайте ...</v>
      </c>
    </row>
    <row r="959" spans="1:8" s="16" customFormat="1" x14ac:dyDescent="0.25">
      <c r="A959" s="17">
        <v>949</v>
      </c>
      <c r="B959" s="17" t="s">
        <v>3274</v>
      </c>
      <c r="C959" s="17" t="s">
        <v>3277</v>
      </c>
      <c r="D959" s="18">
        <v>1</v>
      </c>
      <c r="E959" s="18">
        <v>110.53</v>
      </c>
      <c r="F959" s="18">
        <v>132.63999999999999</v>
      </c>
      <c r="G959" s="20" t="s">
        <v>4392</v>
      </c>
      <c r="H959" s="19" t="str">
        <f>HYPERLINK("https://elefant.by/catalogue/587493171","Посмотреть на сайте ...")</f>
        <v>Посмотреть на сайте ...</v>
      </c>
    </row>
    <row r="960" spans="1:8" s="16" customFormat="1" x14ac:dyDescent="0.25">
      <c r="A960" s="17">
        <v>950</v>
      </c>
      <c r="B960" s="17" t="s">
        <v>3274</v>
      </c>
      <c r="C960" s="17" t="s">
        <v>3278</v>
      </c>
      <c r="D960" s="18">
        <v>1</v>
      </c>
      <c r="E960" s="18">
        <v>102.32</v>
      </c>
      <c r="F960" s="18">
        <v>122.78</v>
      </c>
      <c r="G960" s="20" t="s">
        <v>4393</v>
      </c>
      <c r="H960" s="19" t="str">
        <f>HYPERLINK("https://elefant.by/catalogue/585408199","Посмотреть на сайте ...")</f>
        <v>Посмотреть на сайте ...</v>
      </c>
    </row>
    <row r="961" spans="1:8" s="16" customFormat="1" x14ac:dyDescent="0.25">
      <c r="A961" s="17">
        <v>951</v>
      </c>
      <c r="B961" s="17" t="s">
        <v>3274</v>
      </c>
      <c r="C961" s="17" t="s">
        <v>3279</v>
      </c>
      <c r="D961" s="18">
        <v>1</v>
      </c>
      <c r="E961" s="18">
        <v>171.3</v>
      </c>
      <c r="F961" s="18">
        <v>205.56</v>
      </c>
      <c r="G961" s="20" t="s">
        <v>4394</v>
      </c>
      <c r="H961" s="19" t="str">
        <f>HYPERLINK("https://elefant.by/catalogue/701787828","Посмотреть на сайте ...")</f>
        <v>Посмотреть на сайте ...</v>
      </c>
    </row>
    <row r="962" spans="1:8" s="16" customFormat="1" x14ac:dyDescent="0.25">
      <c r="A962" s="17">
        <v>952</v>
      </c>
      <c r="B962" s="17" t="s">
        <v>3274</v>
      </c>
      <c r="C962" s="17" t="s">
        <v>3280</v>
      </c>
      <c r="D962" s="18">
        <v>1</v>
      </c>
      <c r="E962" s="18">
        <v>170.41</v>
      </c>
      <c r="F962" s="18">
        <v>204.49</v>
      </c>
      <c r="G962" s="20" t="s">
        <v>4395</v>
      </c>
      <c r="H962" s="19" t="str">
        <f>HYPERLINK("https://elefant.by/catalogue/701787830","Посмотреть на сайте ...")</f>
        <v>Посмотреть на сайте ...</v>
      </c>
    </row>
    <row r="963" spans="1:8" s="16" customFormat="1" x14ac:dyDescent="0.25">
      <c r="A963" s="17">
        <v>953</v>
      </c>
      <c r="B963" s="17" t="s">
        <v>1208</v>
      </c>
      <c r="C963" s="17" t="s">
        <v>1211</v>
      </c>
      <c r="D963" s="18">
        <v>1</v>
      </c>
      <c r="E963" s="18">
        <v>155.12</v>
      </c>
      <c r="F963" s="18">
        <v>186.14</v>
      </c>
      <c r="G963" s="20" t="s">
        <v>1212</v>
      </c>
      <c r="H963" s="19" t="str">
        <f>HYPERLINK("https://elefant.by/catalogue/491241466","Посмотреть на сайте ...")</f>
        <v>Посмотреть на сайте ...</v>
      </c>
    </row>
    <row r="964" spans="1:8" s="16" customFormat="1" x14ac:dyDescent="0.25">
      <c r="A964" s="17">
        <v>954</v>
      </c>
      <c r="B964" s="17" t="s">
        <v>1208</v>
      </c>
      <c r="C964" s="17" t="s">
        <v>1213</v>
      </c>
      <c r="D964" s="18">
        <v>1</v>
      </c>
      <c r="E964" s="18">
        <v>196.82</v>
      </c>
      <c r="F964" s="18">
        <v>236.18</v>
      </c>
      <c r="G964" s="20" t="s">
        <v>1214</v>
      </c>
      <c r="H964" s="19" t="str">
        <f>HYPERLINK("https://elefant.by/catalogue/332838219","Посмотреть на сайте ...")</f>
        <v>Посмотреть на сайте ...</v>
      </c>
    </row>
    <row r="965" spans="1:8" s="16" customFormat="1" x14ac:dyDescent="0.25">
      <c r="A965" s="17">
        <v>955</v>
      </c>
      <c r="B965" s="17" t="s">
        <v>1215</v>
      </c>
      <c r="C965" s="17" t="s">
        <v>3281</v>
      </c>
      <c r="D965" s="18">
        <v>1</v>
      </c>
      <c r="E965" s="18">
        <v>23.58</v>
      </c>
      <c r="F965" s="18">
        <v>28.3</v>
      </c>
      <c r="G965" s="20" t="s">
        <v>4396</v>
      </c>
      <c r="H965" s="19" t="str">
        <f>HYPERLINK("https://elefant.by/catalogue/450378492","Посмотреть на сайте ...")</f>
        <v>Посмотреть на сайте ...</v>
      </c>
    </row>
    <row r="966" spans="1:8" s="16" customFormat="1" x14ac:dyDescent="0.25">
      <c r="A966" s="17">
        <v>956</v>
      </c>
      <c r="B966" s="17" t="s">
        <v>1215</v>
      </c>
      <c r="C966" s="17" t="s">
        <v>1216</v>
      </c>
      <c r="D966" s="18">
        <v>1</v>
      </c>
      <c r="E966" s="18">
        <v>23.58</v>
      </c>
      <c r="F966" s="18">
        <v>28.3</v>
      </c>
      <c r="G966" s="20" t="s">
        <v>4397</v>
      </c>
      <c r="H966" s="19" t="str">
        <f>HYPERLINK("https://elefant.by/catalogue/461354016","Посмотреть на сайте ...")</f>
        <v>Посмотреть на сайте ...</v>
      </c>
    </row>
    <row r="967" spans="1:8" s="16" customFormat="1" x14ac:dyDescent="0.25">
      <c r="A967" s="17">
        <v>957</v>
      </c>
      <c r="B967" s="17" t="s">
        <v>1215</v>
      </c>
      <c r="C967" s="17" t="s">
        <v>1217</v>
      </c>
      <c r="D967" s="18">
        <v>1</v>
      </c>
      <c r="E967" s="18">
        <v>21.61</v>
      </c>
      <c r="F967" s="18">
        <v>25.93</v>
      </c>
      <c r="G967" s="20" t="s">
        <v>1218</v>
      </c>
      <c r="H967" s="19" t="str">
        <f>HYPERLINK("https://elefant.by/catalogue/482920461","Посмотреть на сайте ...")</f>
        <v>Посмотреть на сайте ...</v>
      </c>
    </row>
    <row r="968" spans="1:8" s="16" customFormat="1" x14ac:dyDescent="0.25">
      <c r="A968" s="17">
        <v>958</v>
      </c>
      <c r="B968" s="17" t="s">
        <v>1215</v>
      </c>
      <c r="C968" s="17" t="s">
        <v>1219</v>
      </c>
      <c r="D968" s="18">
        <v>1</v>
      </c>
      <c r="E968" s="18">
        <v>23.58</v>
      </c>
      <c r="F968" s="18">
        <v>28.3</v>
      </c>
      <c r="G968" s="20" t="s">
        <v>4398</v>
      </c>
      <c r="H968" s="19" t="str">
        <f>HYPERLINK("https://elefant.by/catalogue/450378493","Посмотреть на сайте ...")</f>
        <v>Посмотреть на сайте ...</v>
      </c>
    </row>
    <row r="969" spans="1:8" s="16" customFormat="1" x14ac:dyDescent="0.25">
      <c r="A969" s="17">
        <v>959</v>
      </c>
      <c r="B969" s="17" t="s">
        <v>1215</v>
      </c>
      <c r="C969" s="17" t="s">
        <v>1220</v>
      </c>
      <c r="D969" s="18">
        <v>1</v>
      </c>
      <c r="E969" s="18">
        <v>23.58</v>
      </c>
      <c r="F969" s="18">
        <v>28.3</v>
      </c>
      <c r="G969" s="20" t="s">
        <v>1221</v>
      </c>
      <c r="H969" s="19" t="str">
        <f>HYPERLINK("https://elefant.by/catalogue/169474889","Посмотреть на сайте ...")</f>
        <v>Посмотреть на сайте ...</v>
      </c>
    </row>
    <row r="970" spans="1:8" s="16" customFormat="1" x14ac:dyDescent="0.25">
      <c r="A970" s="17">
        <v>960</v>
      </c>
      <c r="B970" s="17" t="s">
        <v>12</v>
      </c>
      <c r="C970" s="17" t="s">
        <v>1222</v>
      </c>
      <c r="D970" s="18">
        <v>1</v>
      </c>
      <c r="E970" s="18">
        <v>12.54</v>
      </c>
      <c r="F970" s="18">
        <v>15.05</v>
      </c>
      <c r="G970" s="20" t="s">
        <v>1223</v>
      </c>
      <c r="H970" s="19" t="str">
        <f>HYPERLINK("https://elefant.by/catalogue/454841686","Посмотреть на сайте ...")</f>
        <v>Посмотреть на сайте ...</v>
      </c>
    </row>
    <row r="971" spans="1:8" s="16" customFormat="1" x14ac:dyDescent="0.25">
      <c r="A971" s="17">
        <v>961</v>
      </c>
      <c r="B971" s="17" t="s">
        <v>132</v>
      </c>
      <c r="C971" s="17" t="s">
        <v>3282</v>
      </c>
      <c r="D971" s="18">
        <v>1</v>
      </c>
      <c r="E971" s="18">
        <v>48.22</v>
      </c>
      <c r="F971" s="18">
        <v>57.86</v>
      </c>
      <c r="G971" s="20"/>
      <c r="H971" s="19" t="str">
        <f>HYPERLINK("https://elefant.by/catalogue/177246863","Посмотреть на сайте ...")</f>
        <v>Посмотреть на сайте ...</v>
      </c>
    </row>
    <row r="972" spans="1:8" s="16" customFormat="1" x14ac:dyDescent="0.25">
      <c r="A972" s="17">
        <v>962</v>
      </c>
      <c r="B972" s="17" t="s">
        <v>1215</v>
      </c>
      <c r="C972" s="17" t="s">
        <v>1224</v>
      </c>
      <c r="D972" s="18">
        <v>1</v>
      </c>
      <c r="E972" s="18">
        <v>23.58</v>
      </c>
      <c r="F972" s="18">
        <v>28.3</v>
      </c>
      <c r="G972" s="20" t="s">
        <v>1225</v>
      </c>
      <c r="H972" s="19" t="str">
        <f>HYPERLINK("https://elefant.by/catalogue/169092354","Посмотреть на сайте ...")</f>
        <v>Посмотреть на сайте ...</v>
      </c>
    </row>
    <row r="973" spans="1:8" s="16" customFormat="1" x14ac:dyDescent="0.25">
      <c r="A973" s="17">
        <v>963</v>
      </c>
      <c r="B973" s="17" t="s">
        <v>1215</v>
      </c>
      <c r="C973" s="17" t="s">
        <v>1226</v>
      </c>
      <c r="D973" s="18">
        <v>1</v>
      </c>
      <c r="E973" s="18">
        <v>23.58</v>
      </c>
      <c r="F973" s="18">
        <v>28.3</v>
      </c>
      <c r="G973" s="20" t="s">
        <v>4399</v>
      </c>
      <c r="H973" s="19" t="str">
        <f>HYPERLINK("https://elefant.by/catalogue/223723187","Посмотреть на сайте ...")</f>
        <v>Посмотреть на сайте ...</v>
      </c>
    </row>
    <row r="974" spans="1:8" s="16" customFormat="1" x14ac:dyDescent="0.25">
      <c r="A974" s="17">
        <v>964</v>
      </c>
      <c r="B974" s="17" t="s">
        <v>790</v>
      </c>
      <c r="C974" s="17" t="s">
        <v>3283</v>
      </c>
      <c r="D974" s="18">
        <v>1</v>
      </c>
      <c r="E974" s="18">
        <v>0.86</v>
      </c>
      <c r="F974" s="18">
        <v>1.03</v>
      </c>
      <c r="G974" s="20"/>
      <c r="H974" s="19" t="str">
        <f>HYPERLINK("https://elefant.by/catalogue/584487087","Посмотреть на сайте ...")</f>
        <v>Посмотреть на сайте ...</v>
      </c>
    </row>
    <row r="975" spans="1:8" s="16" customFormat="1" x14ac:dyDescent="0.25">
      <c r="A975" s="17">
        <v>965</v>
      </c>
      <c r="B975" s="17" t="s">
        <v>20</v>
      </c>
      <c r="C975" s="17" t="s">
        <v>1227</v>
      </c>
      <c r="D975" s="18">
        <v>10</v>
      </c>
      <c r="E975" s="18">
        <v>1.1200000000000001</v>
      </c>
      <c r="F975" s="18">
        <v>1.34</v>
      </c>
      <c r="G975" s="20" t="s">
        <v>1228</v>
      </c>
      <c r="H975" s="19" t="str">
        <f>HYPERLINK("https://elefant.by/catalogue/463762122","Посмотреть на сайте ...")</f>
        <v>Посмотреть на сайте ...</v>
      </c>
    </row>
    <row r="976" spans="1:8" s="16" customFormat="1" x14ac:dyDescent="0.25">
      <c r="A976" s="17">
        <v>966</v>
      </c>
      <c r="B976" s="17" t="s">
        <v>20</v>
      </c>
      <c r="C976" s="17" t="s">
        <v>3284</v>
      </c>
      <c r="D976" s="18">
        <v>10</v>
      </c>
      <c r="E976" s="18">
        <v>1.1299999999999999</v>
      </c>
      <c r="F976" s="18">
        <v>1.36</v>
      </c>
      <c r="G976" s="20" t="s">
        <v>4400</v>
      </c>
      <c r="H976" s="19" t="str">
        <f>HYPERLINK("https://elefant.by/catalogue/682835850","Посмотреть на сайте ...")</f>
        <v>Посмотреть на сайте ...</v>
      </c>
    </row>
    <row r="977" spans="1:8" s="16" customFormat="1" x14ac:dyDescent="0.25">
      <c r="A977" s="17">
        <v>967</v>
      </c>
      <c r="B977" s="17" t="s">
        <v>20</v>
      </c>
      <c r="C977" s="17" t="s">
        <v>1229</v>
      </c>
      <c r="D977" s="18">
        <v>10</v>
      </c>
      <c r="E977" s="18">
        <v>1.1299999999999999</v>
      </c>
      <c r="F977" s="18">
        <v>1.36</v>
      </c>
      <c r="G977" s="20" t="s">
        <v>1230</v>
      </c>
      <c r="H977" s="19" t="str">
        <f>HYPERLINK("https://elefant.by/catalogue/539029596","Посмотреть на сайте ...")</f>
        <v>Посмотреть на сайте ...</v>
      </c>
    </row>
    <row r="978" spans="1:8" s="16" customFormat="1" x14ac:dyDescent="0.25">
      <c r="A978" s="17">
        <v>968</v>
      </c>
      <c r="B978" s="17" t="s">
        <v>20</v>
      </c>
      <c r="C978" s="17" t="s">
        <v>1231</v>
      </c>
      <c r="D978" s="18">
        <v>10</v>
      </c>
      <c r="E978" s="18">
        <v>1.1200000000000001</v>
      </c>
      <c r="F978" s="18">
        <v>1.34</v>
      </c>
      <c r="G978" s="20" t="s">
        <v>1232</v>
      </c>
      <c r="H978" s="19" t="str">
        <f>HYPERLINK("https://elefant.by/catalogue/515619808","Посмотреть на сайте ...")</f>
        <v>Посмотреть на сайте ...</v>
      </c>
    </row>
    <row r="979" spans="1:8" s="16" customFormat="1" x14ac:dyDescent="0.25">
      <c r="A979" s="17">
        <v>969</v>
      </c>
      <c r="B979" s="17" t="s">
        <v>20</v>
      </c>
      <c r="C979" s="17" t="s">
        <v>1233</v>
      </c>
      <c r="D979" s="18">
        <v>10</v>
      </c>
      <c r="E979" s="18">
        <v>1.1299999999999999</v>
      </c>
      <c r="F979" s="18">
        <v>1.36</v>
      </c>
      <c r="G979" s="20" t="s">
        <v>1234</v>
      </c>
      <c r="H979" s="19" t="str">
        <f>HYPERLINK("https://elefant.by/catalogue/515619809","Посмотреть на сайте ...")</f>
        <v>Посмотреть на сайте ...</v>
      </c>
    </row>
    <row r="980" spans="1:8" s="16" customFormat="1" x14ac:dyDescent="0.25">
      <c r="A980" s="17">
        <v>970</v>
      </c>
      <c r="B980" s="17" t="s">
        <v>12</v>
      </c>
      <c r="C980" s="17" t="s">
        <v>3285</v>
      </c>
      <c r="D980" s="18">
        <v>36</v>
      </c>
      <c r="E980" s="18">
        <v>0.21</v>
      </c>
      <c r="F980" s="18">
        <v>0.25</v>
      </c>
      <c r="G980" s="20" t="s">
        <v>4401</v>
      </c>
      <c r="H980" s="19" t="str">
        <f>HYPERLINK("https://elefant.by/catalogue/666059105","Посмотреть на сайте ...")</f>
        <v>Посмотреть на сайте ...</v>
      </c>
    </row>
    <row r="981" spans="1:8" s="16" customFormat="1" x14ac:dyDescent="0.25">
      <c r="A981" s="17">
        <v>971</v>
      </c>
      <c r="B981" s="17" t="s">
        <v>12</v>
      </c>
      <c r="C981" s="17" t="s">
        <v>3286</v>
      </c>
      <c r="D981" s="18">
        <v>36</v>
      </c>
      <c r="E981" s="18">
        <v>0.2</v>
      </c>
      <c r="F981" s="18">
        <v>0.24</v>
      </c>
      <c r="G981" s="20" t="s">
        <v>4402</v>
      </c>
      <c r="H981" s="19" t="str">
        <f>HYPERLINK("https://elefant.by/catalogue/666059106","Посмотреть на сайте ...")</f>
        <v>Посмотреть на сайте ...</v>
      </c>
    </row>
    <row r="982" spans="1:8" s="16" customFormat="1" x14ac:dyDescent="0.25">
      <c r="A982" s="17">
        <v>972</v>
      </c>
      <c r="B982" s="17" t="s">
        <v>227</v>
      </c>
      <c r="C982" s="17" t="s">
        <v>1235</v>
      </c>
      <c r="D982" s="18">
        <v>1</v>
      </c>
      <c r="E982" s="18">
        <v>4.1500000000000004</v>
      </c>
      <c r="F982" s="18">
        <v>4.9800000000000004</v>
      </c>
      <c r="G982" s="20" t="s">
        <v>1236</v>
      </c>
      <c r="H982" s="19" t="str">
        <f>HYPERLINK("https://elefant.by/catalogue/581771623","Посмотреть на сайте ...")</f>
        <v>Посмотреть на сайте ...</v>
      </c>
    </row>
    <row r="983" spans="1:8" s="16" customFormat="1" x14ac:dyDescent="0.25">
      <c r="A983" s="17">
        <v>973</v>
      </c>
      <c r="B983" s="17" t="s">
        <v>158</v>
      </c>
      <c r="C983" s="17" t="s">
        <v>1237</v>
      </c>
      <c r="D983" s="18">
        <v>1</v>
      </c>
      <c r="E983" s="18">
        <v>3.76</v>
      </c>
      <c r="F983" s="18">
        <v>4.51</v>
      </c>
      <c r="G983" s="20" t="s">
        <v>1238</v>
      </c>
      <c r="H983" s="19" t="str">
        <f>HYPERLINK("https://elefant.by/catalogue/385830863","Посмотреть на сайте ...")</f>
        <v>Посмотреть на сайте ...</v>
      </c>
    </row>
    <row r="984" spans="1:8" s="16" customFormat="1" x14ac:dyDescent="0.25">
      <c r="A984" s="17">
        <v>974</v>
      </c>
      <c r="B984" s="17" t="s">
        <v>63</v>
      </c>
      <c r="C984" s="17" t="s">
        <v>1239</v>
      </c>
      <c r="D984" s="18">
        <v>60</v>
      </c>
      <c r="E984" s="18">
        <v>0.27</v>
      </c>
      <c r="F984" s="18">
        <v>0.32</v>
      </c>
      <c r="G984" s="20" t="s">
        <v>1240</v>
      </c>
      <c r="H984" s="19" t="str">
        <f>HYPERLINK("https://elefant.by/catalogue/454862863","Посмотреть на сайте ...")</f>
        <v>Посмотреть на сайте ...</v>
      </c>
    </row>
    <row r="985" spans="1:8" s="16" customFormat="1" x14ac:dyDescent="0.25">
      <c r="A985" s="17">
        <v>975</v>
      </c>
      <c r="B985" s="17" t="s">
        <v>63</v>
      </c>
      <c r="C985" s="17" t="s">
        <v>1241</v>
      </c>
      <c r="D985" s="18">
        <v>25</v>
      </c>
      <c r="E985" s="18">
        <v>0.42</v>
      </c>
      <c r="F985" s="18">
        <v>0.5</v>
      </c>
      <c r="G985" s="20" t="s">
        <v>1242</v>
      </c>
      <c r="H985" s="19" t="str">
        <f>HYPERLINK("https://elefant.by/catalogue/454862864","Посмотреть на сайте ...")</f>
        <v>Посмотреть на сайте ...</v>
      </c>
    </row>
    <row r="986" spans="1:8" s="16" customFormat="1" x14ac:dyDescent="0.25">
      <c r="A986" s="17">
        <v>976</v>
      </c>
      <c r="B986" s="17" t="s">
        <v>12</v>
      </c>
      <c r="C986" s="17" t="s">
        <v>3288</v>
      </c>
      <c r="D986" s="18">
        <v>24</v>
      </c>
      <c r="E986" s="18">
        <v>2.66</v>
      </c>
      <c r="F986" s="18">
        <v>3.19</v>
      </c>
      <c r="G986" s="20" t="s">
        <v>4404</v>
      </c>
      <c r="H986" s="19" t="str">
        <f>HYPERLINK("https://elefant.by/catalogue/492375957","Посмотреть на сайте ...")</f>
        <v>Посмотреть на сайте ...</v>
      </c>
    </row>
    <row r="987" spans="1:8" s="16" customFormat="1" x14ac:dyDescent="0.25">
      <c r="A987" s="17">
        <v>977</v>
      </c>
      <c r="B987" s="17" t="s">
        <v>9</v>
      </c>
      <c r="C987" s="17" t="s">
        <v>1243</v>
      </c>
      <c r="D987" s="18">
        <v>12</v>
      </c>
      <c r="E987" s="18">
        <v>3.75</v>
      </c>
      <c r="F987" s="18">
        <v>4.5</v>
      </c>
      <c r="G987" s="20" t="s">
        <v>1244</v>
      </c>
      <c r="H987" s="19" t="str">
        <f>HYPERLINK("https://elefant.by/catalogue/151419928","Посмотреть на сайте ...")</f>
        <v>Посмотреть на сайте ...</v>
      </c>
    </row>
    <row r="988" spans="1:8" s="16" customFormat="1" x14ac:dyDescent="0.25">
      <c r="A988" s="17">
        <v>978</v>
      </c>
      <c r="B988" s="17" t="s">
        <v>9</v>
      </c>
      <c r="C988" s="17" t="s">
        <v>1245</v>
      </c>
      <c r="D988" s="18">
        <v>12</v>
      </c>
      <c r="E988" s="18">
        <v>5.4</v>
      </c>
      <c r="F988" s="18">
        <v>6.48</v>
      </c>
      <c r="G988" s="20" t="s">
        <v>1246</v>
      </c>
      <c r="H988" s="19" t="str">
        <f>HYPERLINK("https://elefant.by/catalogue/159102102","Посмотреть на сайте ...")</f>
        <v>Посмотреть на сайте ...</v>
      </c>
    </row>
    <row r="989" spans="1:8" s="16" customFormat="1" x14ac:dyDescent="0.25">
      <c r="A989" s="17">
        <v>979</v>
      </c>
      <c r="B989" s="17" t="s">
        <v>9</v>
      </c>
      <c r="C989" s="17" t="s">
        <v>1247</v>
      </c>
      <c r="D989" s="18">
        <v>24</v>
      </c>
      <c r="E989" s="18">
        <v>0.71</v>
      </c>
      <c r="F989" s="18">
        <v>0.85</v>
      </c>
      <c r="G989" s="20" t="s">
        <v>1248</v>
      </c>
      <c r="H989" s="19" t="str">
        <f>HYPERLINK("https://elefant.by/catalogue/151419918","Посмотреть на сайте ...")</f>
        <v>Посмотреть на сайте ...</v>
      </c>
    </row>
    <row r="990" spans="1:8" s="16" customFormat="1" x14ac:dyDescent="0.25">
      <c r="A990" s="17">
        <v>980</v>
      </c>
      <c r="B990" s="17" t="s">
        <v>9</v>
      </c>
      <c r="C990" s="17" t="s">
        <v>1249</v>
      </c>
      <c r="D990" s="18">
        <v>12</v>
      </c>
      <c r="E990" s="18">
        <v>1.38</v>
      </c>
      <c r="F990" s="18">
        <v>1.66</v>
      </c>
      <c r="G990" s="20" t="s">
        <v>1250</v>
      </c>
      <c r="H990" s="19" t="str">
        <f>HYPERLINK("https://elefant.by/catalogue/151419924","Посмотреть на сайте ...")</f>
        <v>Посмотреть на сайте ...</v>
      </c>
    </row>
    <row r="991" spans="1:8" s="16" customFormat="1" x14ac:dyDescent="0.25">
      <c r="A991" s="17">
        <v>981</v>
      </c>
      <c r="B991" s="17" t="s">
        <v>9</v>
      </c>
      <c r="C991" s="17" t="s">
        <v>3287</v>
      </c>
      <c r="D991" s="18">
        <v>12</v>
      </c>
      <c r="E991" s="18">
        <v>10.01</v>
      </c>
      <c r="F991" s="18">
        <v>12.01</v>
      </c>
      <c r="G991" s="20" t="s">
        <v>4403</v>
      </c>
      <c r="H991" s="19" t="str">
        <f>HYPERLINK("https://elefant.by/catalogue/154570157","Посмотреть на сайте ...")</f>
        <v>Посмотреть на сайте ...</v>
      </c>
    </row>
    <row r="992" spans="1:8" s="16" customFormat="1" x14ac:dyDescent="0.25">
      <c r="A992" s="17">
        <v>982</v>
      </c>
      <c r="B992" s="17" t="s">
        <v>12</v>
      </c>
      <c r="C992" s="17" t="s">
        <v>3293</v>
      </c>
      <c r="D992" s="18">
        <v>12</v>
      </c>
      <c r="E992" s="18">
        <v>2.58</v>
      </c>
      <c r="F992" s="18">
        <v>3.1</v>
      </c>
      <c r="G992" s="20" t="s">
        <v>4407</v>
      </c>
      <c r="H992" s="19" t="str">
        <f>HYPERLINK("https://elefant.by/catalogue/463499654","Посмотреть на сайте ...")</f>
        <v>Посмотреть на сайте ...</v>
      </c>
    </row>
    <row r="993" spans="1:8" s="16" customFormat="1" x14ac:dyDescent="0.25">
      <c r="A993" s="17">
        <v>983</v>
      </c>
      <c r="B993" s="17" t="s">
        <v>12</v>
      </c>
      <c r="C993" s="17" t="s">
        <v>3294</v>
      </c>
      <c r="D993" s="18">
        <v>24</v>
      </c>
      <c r="E993" s="18">
        <v>1.29</v>
      </c>
      <c r="F993" s="18">
        <v>1.55</v>
      </c>
      <c r="G993" s="20" t="s">
        <v>4408</v>
      </c>
      <c r="H993" s="19" t="str">
        <f>HYPERLINK("https://elefant.by/catalogue/514312124","Посмотреть на сайте ...")</f>
        <v>Посмотреть на сайте ...</v>
      </c>
    </row>
    <row r="994" spans="1:8" s="16" customFormat="1" x14ac:dyDescent="0.25">
      <c r="A994" s="17">
        <v>984</v>
      </c>
      <c r="B994" s="17" t="s">
        <v>12</v>
      </c>
      <c r="C994" s="17" t="s">
        <v>1275</v>
      </c>
      <c r="D994" s="18">
        <v>12</v>
      </c>
      <c r="E994" s="18">
        <v>1.42</v>
      </c>
      <c r="F994" s="18">
        <v>1.7</v>
      </c>
      <c r="G994" s="20" t="s">
        <v>1276</v>
      </c>
      <c r="H994" s="19" t="str">
        <f>HYPERLINK("https://elefant.by/catalogue/451126177","Посмотреть на сайте ...")</f>
        <v>Посмотреть на сайте ...</v>
      </c>
    </row>
    <row r="995" spans="1:8" s="16" customFormat="1" x14ac:dyDescent="0.25">
      <c r="A995" s="17">
        <v>985</v>
      </c>
      <c r="B995" s="17" t="s">
        <v>9</v>
      </c>
      <c r="C995" s="17" t="s">
        <v>1253</v>
      </c>
      <c r="D995" s="18">
        <v>12</v>
      </c>
      <c r="E995" s="18">
        <v>3.75</v>
      </c>
      <c r="F995" s="18">
        <v>4.5</v>
      </c>
      <c r="G995" s="20" t="s">
        <v>1254</v>
      </c>
      <c r="H995" s="19" t="str">
        <f>HYPERLINK("https://elefant.by/catalogue/175740542","Посмотреть на сайте ...")</f>
        <v>Посмотреть на сайте ...</v>
      </c>
    </row>
    <row r="996" spans="1:8" s="16" customFormat="1" x14ac:dyDescent="0.25">
      <c r="A996" s="17">
        <v>986</v>
      </c>
      <c r="B996" s="17" t="s">
        <v>9</v>
      </c>
      <c r="C996" s="17" t="s">
        <v>1255</v>
      </c>
      <c r="D996" s="18">
        <v>12</v>
      </c>
      <c r="E996" s="18">
        <v>3.52</v>
      </c>
      <c r="F996" s="18">
        <v>4.22</v>
      </c>
      <c r="G996" s="20" t="s">
        <v>1256</v>
      </c>
      <c r="H996" s="19" t="str">
        <f>HYPERLINK("https://elefant.by/catalogue/154850331","Посмотреть на сайте ...")</f>
        <v>Посмотреть на сайте ...</v>
      </c>
    </row>
    <row r="997" spans="1:8" s="16" customFormat="1" x14ac:dyDescent="0.25">
      <c r="A997" s="17">
        <v>987</v>
      </c>
      <c r="B997" s="17" t="s">
        <v>9</v>
      </c>
      <c r="C997" s="17" t="s">
        <v>3289</v>
      </c>
      <c r="D997" s="18">
        <v>12</v>
      </c>
      <c r="E997" s="18">
        <v>4.22</v>
      </c>
      <c r="F997" s="18">
        <v>5.0599999999999996</v>
      </c>
      <c r="G997" s="20" t="s">
        <v>4405</v>
      </c>
      <c r="H997" s="19" t="str">
        <f>HYPERLINK("https://elefant.by/catalogue/154850332","Посмотреть на сайте ...")</f>
        <v>Посмотреть на сайте ...</v>
      </c>
    </row>
    <row r="998" spans="1:8" s="16" customFormat="1" x14ac:dyDescent="0.25">
      <c r="A998" s="17">
        <v>988</v>
      </c>
      <c r="B998" s="17" t="s">
        <v>9</v>
      </c>
      <c r="C998" s="17" t="s">
        <v>1257</v>
      </c>
      <c r="D998" s="18">
        <v>12</v>
      </c>
      <c r="E998" s="18">
        <v>13.72</v>
      </c>
      <c r="F998" s="18">
        <v>16.46</v>
      </c>
      <c r="G998" s="20" t="s">
        <v>1258</v>
      </c>
      <c r="H998" s="19" t="str">
        <f>HYPERLINK("https://elefant.by/catalogue/159102101","Посмотреть на сайте ...")</f>
        <v>Посмотреть на сайте ...</v>
      </c>
    </row>
    <row r="999" spans="1:8" s="16" customFormat="1" x14ac:dyDescent="0.25">
      <c r="A999" s="17">
        <v>989</v>
      </c>
      <c r="B999" s="17" t="s">
        <v>9</v>
      </c>
      <c r="C999" s="17" t="s">
        <v>3290</v>
      </c>
      <c r="D999" s="18">
        <v>12</v>
      </c>
      <c r="E999" s="18">
        <v>1.82</v>
      </c>
      <c r="F999" s="18">
        <v>2.1800000000000002</v>
      </c>
      <c r="G999" s="20" t="s">
        <v>1251</v>
      </c>
      <c r="H999" s="19" t="str">
        <f>HYPERLINK("https://elefant.by/catalogue/176752654","Посмотреть на сайте ...")</f>
        <v>Посмотреть на сайте ...</v>
      </c>
    </row>
    <row r="1000" spans="1:8" s="16" customFormat="1" x14ac:dyDescent="0.25">
      <c r="A1000" s="17">
        <v>990</v>
      </c>
      <c r="B1000" s="17" t="s">
        <v>9</v>
      </c>
      <c r="C1000" s="17" t="s">
        <v>3291</v>
      </c>
      <c r="D1000" s="18">
        <v>24</v>
      </c>
      <c r="E1000" s="18">
        <v>1.53</v>
      </c>
      <c r="F1000" s="18">
        <v>1.84</v>
      </c>
      <c r="G1000" s="20" t="s">
        <v>1252</v>
      </c>
      <c r="H1000" s="19" t="str">
        <f>HYPERLINK("https://elefant.by/catalogue/176114444","Посмотреть на сайте ...")</f>
        <v>Посмотреть на сайте ...</v>
      </c>
    </row>
    <row r="1001" spans="1:8" s="16" customFormat="1" x14ac:dyDescent="0.25">
      <c r="A1001" s="17">
        <v>991</v>
      </c>
      <c r="B1001" s="17" t="s">
        <v>9</v>
      </c>
      <c r="C1001" s="17" t="s">
        <v>3292</v>
      </c>
      <c r="D1001" s="18">
        <v>12</v>
      </c>
      <c r="E1001" s="18">
        <v>1.6</v>
      </c>
      <c r="F1001" s="18">
        <v>1.92</v>
      </c>
      <c r="G1001" s="20" t="s">
        <v>4406</v>
      </c>
      <c r="H1001" s="19" t="str">
        <f>HYPERLINK("https://elefant.by/catalogue/159618139","Посмотреть на сайте ...")</f>
        <v>Посмотреть на сайте ...</v>
      </c>
    </row>
    <row r="1002" spans="1:8" s="16" customFormat="1" x14ac:dyDescent="0.25">
      <c r="A1002" s="17">
        <v>992</v>
      </c>
      <c r="B1002" s="17" t="s">
        <v>9</v>
      </c>
      <c r="C1002" s="17" t="s">
        <v>1259</v>
      </c>
      <c r="D1002" s="18">
        <v>12</v>
      </c>
      <c r="E1002" s="18">
        <v>2.71</v>
      </c>
      <c r="F1002" s="18">
        <v>3.25</v>
      </c>
      <c r="G1002" s="20" t="s">
        <v>1260</v>
      </c>
      <c r="H1002" s="19" t="str">
        <f>HYPERLINK("https://elefant.by/catalogue/176449480","Посмотреть на сайте ...")</f>
        <v>Посмотреть на сайте ...</v>
      </c>
    </row>
    <row r="1003" spans="1:8" s="16" customFormat="1" x14ac:dyDescent="0.25">
      <c r="A1003" s="17">
        <v>993</v>
      </c>
      <c r="B1003" s="17" t="s">
        <v>9</v>
      </c>
      <c r="C1003" s="17" t="s">
        <v>1261</v>
      </c>
      <c r="D1003" s="18">
        <v>12</v>
      </c>
      <c r="E1003" s="18">
        <v>2.5299999999999998</v>
      </c>
      <c r="F1003" s="18">
        <v>3.04</v>
      </c>
      <c r="G1003" s="20" t="s">
        <v>1262</v>
      </c>
      <c r="H1003" s="19" t="str">
        <f>HYPERLINK("https://elefant.by/catalogue/160260700","Посмотреть на сайте ...")</f>
        <v>Посмотреть на сайте ...</v>
      </c>
    </row>
    <row r="1004" spans="1:8" s="16" customFormat="1" x14ac:dyDescent="0.25">
      <c r="A1004" s="17">
        <v>994</v>
      </c>
      <c r="B1004" s="17" t="s">
        <v>9</v>
      </c>
      <c r="C1004" s="17" t="s">
        <v>1263</v>
      </c>
      <c r="D1004" s="18">
        <v>12</v>
      </c>
      <c r="E1004" s="18">
        <v>2.88</v>
      </c>
      <c r="F1004" s="18">
        <v>3.46</v>
      </c>
      <c r="G1004" s="20" t="s">
        <v>1264</v>
      </c>
      <c r="H1004" s="19" t="str">
        <f>HYPERLINK("https://elefant.by/catalogue/172087724","Посмотреть на сайте ...")</f>
        <v>Посмотреть на сайте ...</v>
      </c>
    </row>
    <row r="1005" spans="1:8" s="16" customFormat="1" x14ac:dyDescent="0.25">
      <c r="A1005" s="17">
        <v>995</v>
      </c>
      <c r="B1005" s="17" t="s">
        <v>9</v>
      </c>
      <c r="C1005" s="17" t="s">
        <v>1265</v>
      </c>
      <c r="D1005" s="18">
        <v>12</v>
      </c>
      <c r="E1005" s="18">
        <v>3.21</v>
      </c>
      <c r="F1005" s="18">
        <v>3.85</v>
      </c>
      <c r="G1005" s="20" t="s">
        <v>1266</v>
      </c>
      <c r="H1005" s="19" t="str">
        <f>HYPERLINK("https://elefant.by/catalogue/621223472","Посмотреть на сайте ...")</f>
        <v>Посмотреть на сайте ...</v>
      </c>
    </row>
    <row r="1006" spans="1:8" s="16" customFormat="1" x14ac:dyDescent="0.25">
      <c r="A1006" s="17">
        <v>996</v>
      </c>
      <c r="B1006" s="17" t="s">
        <v>9</v>
      </c>
      <c r="C1006" s="17" t="s">
        <v>1267</v>
      </c>
      <c r="D1006" s="18">
        <v>12</v>
      </c>
      <c r="E1006" s="18">
        <v>3.37</v>
      </c>
      <c r="F1006" s="18">
        <v>4.04</v>
      </c>
      <c r="G1006" s="20" t="s">
        <v>1268</v>
      </c>
      <c r="H1006" s="19" t="str">
        <f>HYPERLINK("https://elefant.by/catalogue/621223473","Посмотреть на сайте ...")</f>
        <v>Посмотреть на сайте ...</v>
      </c>
    </row>
    <row r="1007" spans="1:8" s="16" customFormat="1" x14ac:dyDescent="0.25">
      <c r="A1007" s="17">
        <v>997</v>
      </c>
      <c r="B1007" s="17" t="s">
        <v>9</v>
      </c>
      <c r="C1007" s="17" t="s">
        <v>1269</v>
      </c>
      <c r="D1007" s="18">
        <v>12</v>
      </c>
      <c r="E1007" s="18">
        <v>3.37</v>
      </c>
      <c r="F1007" s="18">
        <v>4.04</v>
      </c>
      <c r="G1007" s="20" t="s">
        <v>1270</v>
      </c>
      <c r="H1007" s="19" t="str">
        <f>HYPERLINK("https://elefant.by/catalogue/260778153","Посмотреть на сайте ...")</f>
        <v>Посмотреть на сайте ...</v>
      </c>
    </row>
    <row r="1008" spans="1:8" s="16" customFormat="1" x14ac:dyDescent="0.25">
      <c r="A1008" s="17">
        <v>998</v>
      </c>
      <c r="B1008" s="17" t="s">
        <v>9</v>
      </c>
      <c r="C1008" s="17" t="s">
        <v>1271</v>
      </c>
      <c r="D1008" s="18">
        <v>12</v>
      </c>
      <c r="E1008" s="18">
        <v>3.53</v>
      </c>
      <c r="F1008" s="18">
        <v>4.24</v>
      </c>
      <c r="G1008" s="20" t="s">
        <v>1272</v>
      </c>
      <c r="H1008" s="19" t="str">
        <f>HYPERLINK("https://elefant.by/catalogue/149030245","Посмотреть на сайте ...")</f>
        <v>Посмотреть на сайте ...</v>
      </c>
    </row>
    <row r="1009" spans="1:8" s="16" customFormat="1" x14ac:dyDescent="0.25">
      <c r="A1009" s="17">
        <v>999</v>
      </c>
      <c r="B1009" s="17" t="s">
        <v>9</v>
      </c>
      <c r="C1009" s="17" t="s">
        <v>1273</v>
      </c>
      <c r="D1009" s="18">
        <v>12</v>
      </c>
      <c r="E1009" s="18">
        <v>4.75</v>
      </c>
      <c r="F1009" s="18">
        <v>5.7</v>
      </c>
      <c r="G1009" s="20" t="s">
        <v>1274</v>
      </c>
      <c r="H1009" s="19" t="str">
        <f>HYPERLINK("https://elefant.by/catalogue/149616134","Посмотреть на сайте ...")</f>
        <v>Посмотреть на сайте ...</v>
      </c>
    </row>
    <row r="1010" spans="1:8" s="16" customFormat="1" x14ac:dyDescent="0.25">
      <c r="A1010" s="17">
        <v>1000</v>
      </c>
      <c r="B1010" s="17" t="s">
        <v>24</v>
      </c>
      <c r="C1010" s="17" t="s">
        <v>3295</v>
      </c>
      <c r="D1010" s="18">
        <v>12</v>
      </c>
      <c r="E1010" s="18">
        <v>4.38</v>
      </c>
      <c r="F1010" s="18">
        <v>5.26</v>
      </c>
      <c r="G1010" s="20" t="s">
        <v>4409</v>
      </c>
      <c r="H1010" s="19" t="str">
        <f>HYPERLINK("https://elefant.by/catalogue/301951917","Посмотреть на сайте ...")</f>
        <v>Посмотреть на сайте ...</v>
      </c>
    </row>
    <row r="1011" spans="1:8" s="16" customFormat="1" x14ac:dyDescent="0.25">
      <c r="A1011" s="17">
        <v>1001</v>
      </c>
      <c r="B1011" s="17" t="s">
        <v>24</v>
      </c>
      <c r="C1011" s="17" t="s">
        <v>1277</v>
      </c>
      <c r="D1011" s="18">
        <v>12</v>
      </c>
      <c r="E1011" s="18">
        <v>4.38</v>
      </c>
      <c r="F1011" s="18">
        <v>5.26</v>
      </c>
      <c r="G1011" s="20" t="s">
        <v>1278</v>
      </c>
      <c r="H1011" s="19" t="str">
        <f>HYPERLINK("https://elefant.by/catalogue/301951918","Посмотреть на сайте ...")</f>
        <v>Посмотреть на сайте ...</v>
      </c>
    </row>
    <row r="1012" spans="1:8" s="16" customFormat="1" x14ac:dyDescent="0.25">
      <c r="A1012" s="17">
        <v>1002</v>
      </c>
      <c r="B1012" s="17" t="s">
        <v>24</v>
      </c>
      <c r="C1012" s="17" t="s">
        <v>3296</v>
      </c>
      <c r="D1012" s="18">
        <v>12</v>
      </c>
      <c r="E1012" s="18">
        <v>4.38</v>
      </c>
      <c r="F1012" s="18">
        <v>5.26</v>
      </c>
      <c r="G1012" s="20" t="s">
        <v>4410</v>
      </c>
      <c r="H1012" s="19" t="str">
        <f>HYPERLINK("https://elefant.by/catalogue/301951915","Посмотреть на сайте ...")</f>
        <v>Посмотреть на сайте ...</v>
      </c>
    </row>
    <row r="1013" spans="1:8" s="16" customFormat="1" x14ac:dyDescent="0.25">
      <c r="A1013" s="17">
        <v>1003</v>
      </c>
      <c r="B1013" s="17" t="s">
        <v>24</v>
      </c>
      <c r="C1013" s="17" t="s">
        <v>3297</v>
      </c>
      <c r="D1013" s="18">
        <v>12</v>
      </c>
      <c r="E1013" s="18">
        <v>4.38</v>
      </c>
      <c r="F1013" s="18">
        <v>5.26</v>
      </c>
      <c r="G1013" s="20" t="s">
        <v>4411</v>
      </c>
      <c r="H1013" s="19" t="str">
        <f>HYPERLINK("https://elefant.by/catalogue/301951914","Посмотреть на сайте ...")</f>
        <v>Посмотреть на сайте ...</v>
      </c>
    </row>
    <row r="1014" spans="1:8" s="16" customFormat="1" x14ac:dyDescent="0.25">
      <c r="A1014" s="17">
        <v>1004</v>
      </c>
      <c r="B1014" s="17" t="s">
        <v>24</v>
      </c>
      <c r="C1014" s="17" t="s">
        <v>1279</v>
      </c>
      <c r="D1014" s="18">
        <v>12</v>
      </c>
      <c r="E1014" s="18">
        <v>4.38</v>
      </c>
      <c r="F1014" s="18">
        <v>5.26</v>
      </c>
      <c r="G1014" s="20" t="s">
        <v>1280</v>
      </c>
      <c r="H1014" s="19" t="str">
        <f>HYPERLINK("https://elefant.by/catalogue/301951916","Посмотреть на сайте ...")</f>
        <v>Посмотреть на сайте ...</v>
      </c>
    </row>
    <row r="1015" spans="1:8" s="16" customFormat="1" x14ac:dyDescent="0.25">
      <c r="A1015" s="17">
        <v>1005</v>
      </c>
      <c r="B1015" s="17" t="s">
        <v>20</v>
      </c>
      <c r="C1015" s="17" t="s">
        <v>1281</v>
      </c>
      <c r="D1015" s="18">
        <v>1</v>
      </c>
      <c r="E1015" s="18">
        <v>11.33</v>
      </c>
      <c r="F1015" s="18">
        <v>13.6</v>
      </c>
      <c r="G1015" s="20" t="s">
        <v>1282</v>
      </c>
      <c r="H1015" s="19" t="str">
        <f>HYPERLINK("https://elefant.by/catalogue/575996559","Посмотреть на сайте ...")</f>
        <v>Посмотреть на сайте ...</v>
      </c>
    </row>
    <row r="1016" spans="1:8" s="16" customFormat="1" x14ac:dyDescent="0.25">
      <c r="A1016" s="17">
        <v>1006</v>
      </c>
      <c r="B1016" s="17" t="s">
        <v>20</v>
      </c>
      <c r="C1016" s="17" t="s">
        <v>3298</v>
      </c>
      <c r="D1016" s="18">
        <v>1</v>
      </c>
      <c r="E1016" s="18">
        <v>12.75</v>
      </c>
      <c r="F1016" s="18">
        <v>15.3</v>
      </c>
      <c r="G1016" s="20" t="s">
        <v>4412</v>
      </c>
      <c r="H1016" s="19" t="str">
        <f>HYPERLINK("https://elefant.by/catalogue/647019521","Посмотреть на сайте ...")</f>
        <v>Посмотреть на сайте ...</v>
      </c>
    </row>
    <row r="1017" spans="1:8" s="16" customFormat="1" x14ac:dyDescent="0.25">
      <c r="A1017" s="17">
        <v>1007</v>
      </c>
      <c r="B1017" s="17" t="s">
        <v>20</v>
      </c>
      <c r="C1017" s="17" t="s">
        <v>3299</v>
      </c>
      <c r="D1017" s="18">
        <v>1</v>
      </c>
      <c r="E1017" s="18">
        <v>11.87</v>
      </c>
      <c r="F1017" s="18">
        <v>14.24</v>
      </c>
      <c r="G1017" s="20" t="s">
        <v>4413</v>
      </c>
      <c r="H1017" s="19" t="str">
        <f>HYPERLINK("https://elefant.by/catalogue/647019522","Посмотреть на сайте ...")</f>
        <v>Посмотреть на сайте ...</v>
      </c>
    </row>
    <row r="1018" spans="1:8" s="16" customFormat="1" x14ac:dyDescent="0.25">
      <c r="A1018" s="17">
        <v>1008</v>
      </c>
      <c r="B1018" s="17" t="s">
        <v>20</v>
      </c>
      <c r="C1018" s="17" t="s">
        <v>1283</v>
      </c>
      <c r="D1018" s="18">
        <v>1</v>
      </c>
      <c r="E1018" s="18">
        <v>11.33</v>
      </c>
      <c r="F1018" s="18">
        <v>13.6</v>
      </c>
      <c r="G1018" s="20" t="s">
        <v>1284</v>
      </c>
      <c r="H1018" s="19" t="str">
        <f>HYPERLINK("https://elefant.by/catalogue/575996560","Посмотреть на сайте ...")</f>
        <v>Посмотреть на сайте ...</v>
      </c>
    </row>
    <row r="1019" spans="1:8" s="16" customFormat="1" x14ac:dyDescent="0.25">
      <c r="A1019" s="17">
        <v>1009</v>
      </c>
      <c r="B1019" s="17" t="s">
        <v>20</v>
      </c>
      <c r="C1019" s="17" t="s">
        <v>3300</v>
      </c>
      <c r="D1019" s="18">
        <v>1</v>
      </c>
      <c r="E1019" s="18">
        <v>13.18</v>
      </c>
      <c r="F1019" s="18">
        <v>15.82</v>
      </c>
      <c r="G1019" s="20" t="s">
        <v>4414</v>
      </c>
      <c r="H1019" s="19" t="str">
        <f>HYPERLINK("https://elefant.by/catalogue/575996556","Посмотреть на сайте ...")</f>
        <v>Посмотреть на сайте ...</v>
      </c>
    </row>
    <row r="1020" spans="1:8" s="16" customFormat="1" x14ac:dyDescent="0.25">
      <c r="A1020" s="17">
        <v>1010</v>
      </c>
      <c r="B1020" s="17" t="s">
        <v>20</v>
      </c>
      <c r="C1020" s="17" t="s">
        <v>3301</v>
      </c>
      <c r="D1020" s="18">
        <v>1</v>
      </c>
      <c r="E1020" s="18">
        <v>16.78</v>
      </c>
      <c r="F1020" s="18">
        <v>20.14</v>
      </c>
      <c r="G1020" s="20" t="s">
        <v>4415</v>
      </c>
      <c r="H1020" s="19" t="str">
        <f>HYPERLINK("https://elefant.by/catalogue/575996558","Посмотреть на сайте ...")</f>
        <v>Посмотреть на сайте ...</v>
      </c>
    </row>
    <row r="1021" spans="1:8" s="16" customFormat="1" x14ac:dyDescent="0.25">
      <c r="A1021" s="17">
        <v>1011</v>
      </c>
      <c r="B1021" s="17" t="s">
        <v>20</v>
      </c>
      <c r="C1021" s="17" t="s">
        <v>1285</v>
      </c>
      <c r="D1021" s="18">
        <v>1</v>
      </c>
      <c r="E1021" s="18">
        <v>14.71</v>
      </c>
      <c r="F1021" s="18">
        <v>17.649999999999999</v>
      </c>
      <c r="G1021" s="20" t="s">
        <v>1286</v>
      </c>
      <c r="H1021" s="19" t="str">
        <f>HYPERLINK("https://elefant.by/catalogue/575996557","Посмотреть на сайте ...")</f>
        <v>Посмотреть на сайте ...</v>
      </c>
    </row>
    <row r="1022" spans="1:8" s="16" customFormat="1" x14ac:dyDescent="0.25">
      <c r="A1022" s="17">
        <v>1012</v>
      </c>
      <c r="B1022" s="17" t="s">
        <v>11</v>
      </c>
      <c r="C1022" s="17" t="s">
        <v>3302</v>
      </c>
      <c r="D1022" s="18">
        <v>100</v>
      </c>
      <c r="E1022" s="18">
        <v>0.61</v>
      </c>
      <c r="F1022" s="18">
        <v>0.67</v>
      </c>
      <c r="G1022" s="20" t="s">
        <v>1287</v>
      </c>
      <c r="H1022" s="19" t="str">
        <f>HYPERLINK("https://elefant.by/catalogue/162620808","Посмотреть на сайте ...")</f>
        <v>Посмотреть на сайте ...</v>
      </c>
    </row>
    <row r="1023" spans="1:8" s="16" customFormat="1" x14ac:dyDescent="0.25">
      <c r="A1023" s="17">
        <v>1013</v>
      </c>
      <c r="B1023" s="17" t="s">
        <v>11</v>
      </c>
      <c r="C1023" s="17" t="s">
        <v>3303</v>
      </c>
      <c r="D1023" s="18">
        <v>20</v>
      </c>
      <c r="E1023" s="18">
        <v>2.0299999999999998</v>
      </c>
      <c r="F1023" s="18">
        <v>2.44</v>
      </c>
      <c r="G1023" s="20" t="s">
        <v>1288</v>
      </c>
      <c r="H1023" s="19" t="str">
        <f>HYPERLINK("https://elefant.by/catalogue/381161225","Посмотреть на сайте ...")</f>
        <v>Посмотреть на сайте ...</v>
      </c>
    </row>
    <row r="1024" spans="1:8" s="16" customFormat="1" x14ac:dyDescent="0.25">
      <c r="A1024" s="17">
        <v>1014</v>
      </c>
      <c r="B1024" s="17" t="s">
        <v>11</v>
      </c>
      <c r="C1024" s="17" t="s">
        <v>3304</v>
      </c>
      <c r="D1024" s="18">
        <v>20</v>
      </c>
      <c r="E1024" s="18">
        <v>2.0299999999999998</v>
      </c>
      <c r="F1024" s="18">
        <v>2.44</v>
      </c>
      <c r="G1024" s="20" t="s">
        <v>1289</v>
      </c>
      <c r="H1024" s="19" t="str">
        <f>HYPERLINK("https://elefant.by/catalogue/244608012","Посмотреть на сайте ...")</f>
        <v>Посмотреть на сайте ...</v>
      </c>
    </row>
    <row r="1025" spans="1:8" s="16" customFormat="1" x14ac:dyDescent="0.25">
      <c r="A1025" s="17">
        <v>1015</v>
      </c>
      <c r="B1025" s="17" t="s">
        <v>11</v>
      </c>
      <c r="C1025" s="17" t="s">
        <v>3305</v>
      </c>
      <c r="D1025" s="18">
        <v>20</v>
      </c>
      <c r="E1025" s="18">
        <v>2.0299999999999998</v>
      </c>
      <c r="F1025" s="18">
        <v>2.44</v>
      </c>
      <c r="G1025" s="20" t="s">
        <v>1290</v>
      </c>
      <c r="H1025" s="19" t="str">
        <f>HYPERLINK("https://elefant.by/catalogue/387160330","Посмотреть на сайте ...")</f>
        <v>Посмотреть на сайте ...</v>
      </c>
    </row>
    <row r="1026" spans="1:8" s="16" customFormat="1" x14ac:dyDescent="0.25">
      <c r="A1026" s="17">
        <v>1016</v>
      </c>
      <c r="B1026" s="17" t="s">
        <v>11</v>
      </c>
      <c r="C1026" s="17" t="s">
        <v>3306</v>
      </c>
      <c r="D1026" s="18">
        <v>20</v>
      </c>
      <c r="E1026" s="18">
        <v>2.0299999999999998</v>
      </c>
      <c r="F1026" s="18">
        <v>2.44</v>
      </c>
      <c r="G1026" s="20" t="s">
        <v>1291</v>
      </c>
      <c r="H1026" s="19" t="str">
        <f>HYPERLINK("https://elefant.by/catalogue/244608011","Посмотреть на сайте ...")</f>
        <v>Посмотреть на сайте ...</v>
      </c>
    </row>
    <row r="1027" spans="1:8" s="16" customFormat="1" x14ac:dyDescent="0.25">
      <c r="A1027" s="17">
        <v>1017</v>
      </c>
      <c r="B1027" s="17" t="s">
        <v>11</v>
      </c>
      <c r="C1027" s="17" t="s">
        <v>3307</v>
      </c>
      <c r="D1027" s="18">
        <v>100</v>
      </c>
      <c r="E1027" s="18">
        <v>0.12</v>
      </c>
      <c r="F1027" s="18">
        <v>0.14000000000000001</v>
      </c>
      <c r="G1027" s="20" t="s">
        <v>4416</v>
      </c>
      <c r="H1027" s="19" t="str">
        <f>HYPERLINK("https://elefant.by/catalogue/162620810","Посмотреть на сайте ...")</f>
        <v>Посмотреть на сайте ...</v>
      </c>
    </row>
    <row r="1028" spans="1:8" s="16" customFormat="1" x14ac:dyDescent="0.25">
      <c r="A1028" s="17">
        <v>1018</v>
      </c>
      <c r="B1028" s="17" t="s">
        <v>11</v>
      </c>
      <c r="C1028" s="17" t="s">
        <v>3308</v>
      </c>
      <c r="D1028" s="18">
        <v>100</v>
      </c>
      <c r="E1028" s="18">
        <v>0.57999999999999996</v>
      </c>
      <c r="F1028" s="18">
        <v>0.7</v>
      </c>
      <c r="G1028" s="20" t="s">
        <v>4417</v>
      </c>
      <c r="H1028" s="19" t="str">
        <f>HYPERLINK("https://elefant.by/catalogue/162620807","Посмотреть на сайте ...")</f>
        <v>Посмотреть на сайте ...</v>
      </c>
    </row>
    <row r="1029" spans="1:8" s="16" customFormat="1" x14ac:dyDescent="0.25">
      <c r="A1029" s="17">
        <v>1019</v>
      </c>
      <c r="B1029" s="17" t="s">
        <v>11</v>
      </c>
      <c r="C1029" s="17" t="s">
        <v>3309</v>
      </c>
      <c r="D1029" s="18">
        <v>20</v>
      </c>
      <c r="E1029" s="18">
        <v>0.5</v>
      </c>
      <c r="F1029" s="18">
        <v>0.6</v>
      </c>
      <c r="G1029" s="20" t="s">
        <v>4418</v>
      </c>
      <c r="H1029" s="19" t="str">
        <f>HYPERLINK("https://elefant.by/catalogue/513508359","Посмотреть на сайте ...")</f>
        <v>Посмотреть на сайте ...</v>
      </c>
    </row>
    <row r="1030" spans="1:8" s="16" customFormat="1" x14ac:dyDescent="0.25">
      <c r="A1030" s="17">
        <v>1020</v>
      </c>
      <c r="B1030" s="17" t="s">
        <v>11</v>
      </c>
      <c r="C1030" s="17" t="s">
        <v>3310</v>
      </c>
      <c r="D1030" s="18">
        <v>100</v>
      </c>
      <c r="E1030" s="18">
        <v>0.5</v>
      </c>
      <c r="F1030" s="18">
        <v>0.55000000000000004</v>
      </c>
      <c r="G1030" s="20" t="s">
        <v>4419</v>
      </c>
      <c r="H1030" s="19" t="str">
        <f>HYPERLINK("https://elefant.by/catalogue/375201226","Посмотреть на сайте ...")</f>
        <v>Посмотреть на сайте ...</v>
      </c>
    </row>
    <row r="1031" spans="1:8" s="16" customFormat="1" x14ac:dyDescent="0.25">
      <c r="A1031" s="17">
        <v>1021</v>
      </c>
      <c r="B1031" s="17" t="s">
        <v>13</v>
      </c>
      <c r="C1031" s="17" t="s">
        <v>3311</v>
      </c>
      <c r="D1031" s="18">
        <v>100</v>
      </c>
      <c r="E1031" s="18">
        <v>0.28000000000000003</v>
      </c>
      <c r="F1031" s="18">
        <v>0.31</v>
      </c>
      <c r="G1031" s="20" t="s">
        <v>4420</v>
      </c>
      <c r="H1031" s="19" t="str">
        <f>HYPERLINK("https://elefant.by/catalogue/402546975","Посмотреть на сайте ...")</f>
        <v>Посмотреть на сайте ...</v>
      </c>
    </row>
    <row r="1032" spans="1:8" s="16" customFormat="1" x14ac:dyDescent="0.25">
      <c r="A1032" s="17">
        <v>1022</v>
      </c>
      <c r="B1032" s="17" t="s">
        <v>11</v>
      </c>
      <c r="C1032" s="17" t="s">
        <v>3312</v>
      </c>
      <c r="D1032" s="18">
        <v>100</v>
      </c>
      <c r="E1032" s="18">
        <v>0.28999999999999998</v>
      </c>
      <c r="F1032" s="18">
        <v>0.32</v>
      </c>
      <c r="G1032" s="20" t="s">
        <v>4421</v>
      </c>
      <c r="H1032" s="19" t="str">
        <f>HYPERLINK("https://elefant.by/catalogue/162620797","Посмотреть на сайте ...")</f>
        <v>Посмотреть на сайте ...</v>
      </c>
    </row>
    <row r="1033" spans="1:8" s="16" customFormat="1" x14ac:dyDescent="0.25">
      <c r="A1033" s="17">
        <v>1023</v>
      </c>
      <c r="B1033" s="17" t="s">
        <v>11</v>
      </c>
      <c r="C1033" s="17" t="s">
        <v>3313</v>
      </c>
      <c r="D1033" s="18">
        <v>10</v>
      </c>
      <c r="E1033" s="18">
        <v>2.97</v>
      </c>
      <c r="F1033" s="18">
        <v>3.27</v>
      </c>
      <c r="G1033" s="20" t="s">
        <v>4422</v>
      </c>
      <c r="H1033" s="19" t="str">
        <f>HYPERLINK("https://elefant.by/catalogue/162620795","Посмотреть на сайте ...")</f>
        <v>Посмотреть на сайте ...</v>
      </c>
    </row>
    <row r="1034" spans="1:8" s="16" customFormat="1" x14ac:dyDescent="0.25">
      <c r="A1034" s="17">
        <v>1024</v>
      </c>
      <c r="B1034" s="17" t="s">
        <v>11</v>
      </c>
      <c r="C1034" s="17" t="s">
        <v>3314</v>
      </c>
      <c r="D1034" s="18">
        <v>100</v>
      </c>
      <c r="E1034" s="18">
        <v>0.28999999999999998</v>
      </c>
      <c r="F1034" s="18">
        <v>0.32</v>
      </c>
      <c r="G1034" s="20" t="s">
        <v>4423</v>
      </c>
      <c r="H1034" s="19" t="str">
        <f>HYPERLINK("https://elefant.by/catalogue/162620794","Посмотреть на сайте ...")</f>
        <v>Посмотреть на сайте ...</v>
      </c>
    </row>
    <row r="1035" spans="1:8" s="16" customFormat="1" x14ac:dyDescent="0.25">
      <c r="A1035" s="17">
        <v>1025</v>
      </c>
      <c r="B1035" s="17" t="s">
        <v>9</v>
      </c>
      <c r="C1035" s="17" t="s">
        <v>3315</v>
      </c>
      <c r="D1035" s="18">
        <v>10</v>
      </c>
      <c r="E1035" s="18">
        <v>1.5</v>
      </c>
      <c r="F1035" s="18">
        <v>1.65</v>
      </c>
      <c r="G1035" s="20" t="s">
        <v>4424</v>
      </c>
      <c r="H1035" s="19" t="str">
        <f>HYPERLINK("https://elefant.by/catalogue/587463595","Посмотреть на сайте ...")</f>
        <v>Посмотреть на сайте ...</v>
      </c>
    </row>
    <row r="1036" spans="1:8" s="16" customFormat="1" x14ac:dyDescent="0.25">
      <c r="A1036" s="17">
        <v>1026</v>
      </c>
      <c r="B1036" s="17" t="s">
        <v>13</v>
      </c>
      <c r="C1036" s="17" t="s">
        <v>3316</v>
      </c>
      <c r="D1036" s="18">
        <v>100</v>
      </c>
      <c r="E1036" s="18">
        <v>0.1</v>
      </c>
      <c r="F1036" s="18">
        <v>0.11</v>
      </c>
      <c r="G1036" s="20" t="s">
        <v>4425</v>
      </c>
      <c r="H1036" s="19" t="str">
        <f>HYPERLINK("https://elefant.by/catalogue/520884829","Посмотреть на сайте ...")</f>
        <v>Посмотреть на сайте ...</v>
      </c>
    </row>
    <row r="1037" spans="1:8" s="16" customFormat="1" x14ac:dyDescent="0.25">
      <c r="A1037" s="17">
        <v>1027</v>
      </c>
      <c r="B1037" s="17" t="s">
        <v>12</v>
      </c>
      <c r="C1037" s="17" t="s">
        <v>3317</v>
      </c>
      <c r="D1037" s="18">
        <v>20</v>
      </c>
      <c r="E1037" s="18">
        <v>2.2599999999999998</v>
      </c>
      <c r="F1037" s="18">
        <v>2.4900000000000002</v>
      </c>
      <c r="G1037" s="20" t="s">
        <v>4426</v>
      </c>
      <c r="H1037" s="19" t="str">
        <f>HYPERLINK("https://elefant.by/catalogue/582512303","Посмотреть на сайте ...")</f>
        <v>Посмотреть на сайте ...</v>
      </c>
    </row>
    <row r="1038" spans="1:8" s="16" customFormat="1" x14ac:dyDescent="0.25">
      <c r="A1038" s="17">
        <v>1028</v>
      </c>
      <c r="B1038" s="17" t="s">
        <v>13</v>
      </c>
      <c r="C1038" s="17" t="s">
        <v>3318</v>
      </c>
      <c r="D1038" s="18">
        <v>50</v>
      </c>
      <c r="E1038" s="18">
        <v>7.0000000000000007E-2</v>
      </c>
      <c r="F1038" s="18">
        <v>0.08</v>
      </c>
      <c r="G1038" s="20" t="s">
        <v>4427</v>
      </c>
      <c r="H1038" s="19" t="str">
        <f>HYPERLINK("https://elefant.by/catalogue/454806457","Посмотреть на сайте ...")</f>
        <v>Посмотреть на сайте ...</v>
      </c>
    </row>
    <row r="1039" spans="1:8" s="16" customFormat="1" x14ac:dyDescent="0.25">
      <c r="A1039" s="17">
        <v>1029</v>
      </c>
      <c r="B1039" s="17" t="s">
        <v>9</v>
      </c>
      <c r="C1039" s="17" t="s">
        <v>3319</v>
      </c>
      <c r="D1039" s="18">
        <v>10</v>
      </c>
      <c r="E1039" s="18">
        <v>1.99</v>
      </c>
      <c r="F1039" s="18">
        <v>2.19</v>
      </c>
      <c r="G1039" s="20" t="s">
        <v>4428</v>
      </c>
      <c r="H1039" s="19" t="str">
        <f>HYPERLINK("https://elefant.by/catalogue/593952904","Посмотреть на сайте ...")</f>
        <v>Посмотреть на сайте ...</v>
      </c>
    </row>
    <row r="1040" spans="1:8" s="16" customFormat="1" x14ac:dyDescent="0.25">
      <c r="A1040" s="17">
        <v>1030</v>
      </c>
      <c r="B1040" s="17" t="s">
        <v>13</v>
      </c>
      <c r="C1040" s="17" t="s">
        <v>3320</v>
      </c>
      <c r="D1040" s="18">
        <v>100</v>
      </c>
      <c r="E1040" s="18">
        <v>0.3</v>
      </c>
      <c r="F1040" s="18">
        <v>0.33</v>
      </c>
      <c r="G1040" s="20" t="s">
        <v>4429</v>
      </c>
      <c r="H1040" s="19" t="str">
        <f>HYPERLINK("https://elefant.by/catalogue/402546977","Посмотреть на сайте ...")</f>
        <v>Посмотреть на сайте ...</v>
      </c>
    </row>
    <row r="1041" spans="1:8" s="16" customFormat="1" x14ac:dyDescent="0.25">
      <c r="A1041" s="17">
        <v>1031</v>
      </c>
      <c r="B1041" s="17" t="s">
        <v>13</v>
      </c>
      <c r="C1041" s="17" t="s">
        <v>3321</v>
      </c>
      <c r="D1041" s="18">
        <v>100</v>
      </c>
      <c r="E1041" s="18">
        <v>0.36</v>
      </c>
      <c r="F1041" s="18">
        <v>0.4</v>
      </c>
      <c r="G1041" s="20" t="s">
        <v>4430</v>
      </c>
      <c r="H1041" s="19" t="str">
        <f>HYPERLINK("https://elefant.by/catalogue/402546976","Посмотреть на сайте ...")</f>
        <v>Посмотреть на сайте ...</v>
      </c>
    </row>
    <row r="1042" spans="1:8" s="16" customFormat="1" x14ac:dyDescent="0.25">
      <c r="A1042" s="17">
        <v>1032</v>
      </c>
      <c r="B1042" s="17" t="s">
        <v>11</v>
      </c>
      <c r="C1042" s="17" t="s">
        <v>3322</v>
      </c>
      <c r="D1042" s="18">
        <v>100</v>
      </c>
      <c r="E1042" s="18">
        <v>0.35</v>
      </c>
      <c r="F1042" s="18">
        <v>0.39</v>
      </c>
      <c r="G1042" s="20" t="s">
        <v>4431</v>
      </c>
      <c r="H1042" s="19" t="str">
        <f>HYPERLINK("https://elefant.by/catalogue/162620801","Посмотреть на сайте ...")</f>
        <v>Посмотреть на сайте ...</v>
      </c>
    </row>
    <row r="1043" spans="1:8" s="16" customFormat="1" x14ac:dyDescent="0.25">
      <c r="A1043" s="17">
        <v>1033</v>
      </c>
      <c r="B1043" s="17" t="s">
        <v>11</v>
      </c>
      <c r="C1043" s="17" t="s">
        <v>3323</v>
      </c>
      <c r="D1043" s="18">
        <v>10</v>
      </c>
      <c r="E1043" s="18">
        <v>3.62</v>
      </c>
      <c r="F1043" s="18">
        <v>3.98</v>
      </c>
      <c r="G1043" s="20" t="s">
        <v>4432</v>
      </c>
      <c r="H1043" s="19" t="str">
        <f>HYPERLINK("https://elefant.by/catalogue/162620799","Посмотреть на сайте ...")</f>
        <v>Посмотреть на сайте ...</v>
      </c>
    </row>
    <row r="1044" spans="1:8" s="16" customFormat="1" x14ac:dyDescent="0.25">
      <c r="A1044" s="17">
        <v>1034</v>
      </c>
      <c r="B1044" s="17" t="s">
        <v>11</v>
      </c>
      <c r="C1044" s="17" t="s">
        <v>3324</v>
      </c>
      <c r="D1044" s="18">
        <v>100</v>
      </c>
      <c r="E1044" s="18">
        <v>0.35</v>
      </c>
      <c r="F1044" s="18">
        <v>0.39</v>
      </c>
      <c r="G1044" s="20" t="s">
        <v>4433</v>
      </c>
      <c r="H1044" s="19" t="str">
        <f>HYPERLINK("https://elefant.by/catalogue/162620798","Посмотреть на сайте ...")</f>
        <v>Посмотреть на сайте ...</v>
      </c>
    </row>
    <row r="1045" spans="1:8" s="16" customFormat="1" x14ac:dyDescent="0.25">
      <c r="A1045" s="17">
        <v>1035</v>
      </c>
      <c r="B1045" s="17" t="s">
        <v>11</v>
      </c>
      <c r="C1045" s="17" t="s">
        <v>3325</v>
      </c>
      <c r="D1045" s="18">
        <v>10</v>
      </c>
      <c r="E1045" s="18">
        <v>2.08</v>
      </c>
      <c r="F1045" s="18">
        <v>2.5</v>
      </c>
      <c r="G1045" s="20" t="s">
        <v>4434</v>
      </c>
      <c r="H1045" s="19" t="str">
        <f>HYPERLINK("https://elefant.by/catalogue/513411887","Посмотреть на сайте ...")</f>
        <v>Посмотреть на сайте ...</v>
      </c>
    </row>
    <row r="1046" spans="1:8" s="16" customFormat="1" x14ac:dyDescent="0.25">
      <c r="A1046" s="17">
        <v>1036</v>
      </c>
      <c r="B1046" s="17" t="s">
        <v>11</v>
      </c>
      <c r="C1046" s="17" t="s">
        <v>3326</v>
      </c>
      <c r="D1046" s="18">
        <v>10</v>
      </c>
      <c r="E1046" s="18">
        <v>2.08</v>
      </c>
      <c r="F1046" s="18">
        <v>2.5</v>
      </c>
      <c r="G1046" s="20" t="s">
        <v>4435</v>
      </c>
      <c r="H1046" s="19" t="str">
        <f>HYPERLINK("https://elefant.by/catalogue/513411888","Посмотреть на сайте ...")</f>
        <v>Посмотреть на сайте ...</v>
      </c>
    </row>
    <row r="1047" spans="1:8" s="16" customFormat="1" x14ac:dyDescent="0.25">
      <c r="A1047" s="17">
        <v>1037</v>
      </c>
      <c r="B1047" s="17" t="s">
        <v>11</v>
      </c>
      <c r="C1047" s="17" t="s">
        <v>3327</v>
      </c>
      <c r="D1047" s="18">
        <v>10</v>
      </c>
      <c r="E1047" s="18">
        <v>2.54</v>
      </c>
      <c r="F1047" s="18">
        <v>3.05</v>
      </c>
      <c r="G1047" s="20" t="s">
        <v>4436</v>
      </c>
      <c r="H1047" s="19" t="str">
        <f>HYPERLINK("https://elefant.by/catalogue/513411886","Посмотреть на сайте ...")</f>
        <v>Посмотреть на сайте ...</v>
      </c>
    </row>
    <row r="1048" spans="1:8" s="16" customFormat="1" x14ac:dyDescent="0.25">
      <c r="A1048" s="17">
        <v>1038</v>
      </c>
      <c r="B1048" s="17" t="s">
        <v>11</v>
      </c>
      <c r="C1048" s="17" t="s">
        <v>3328</v>
      </c>
      <c r="D1048" s="18">
        <v>10</v>
      </c>
      <c r="E1048" s="18">
        <v>2.08</v>
      </c>
      <c r="F1048" s="18">
        <v>2.5</v>
      </c>
      <c r="G1048" s="20" t="s">
        <v>4437</v>
      </c>
      <c r="H1048" s="19" t="str">
        <f>HYPERLINK("https://elefant.by/catalogue/516761671","Посмотреть на сайте ...")</f>
        <v>Посмотреть на сайте ...</v>
      </c>
    </row>
    <row r="1049" spans="1:8" s="16" customFormat="1" x14ac:dyDescent="0.25">
      <c r="A1049" s="17">
        <v>1039</v>
      </c>
      <c r="B1049" s="17" t="s">
        <v>11</v>
      </c>
      <c r="C1049" s="17" t="s">
        <v>3329</v>
      </c>
      <c r="D1049" s="18">
        <v>10</v>
      </c>
      <c r="E1049" s="18">
        <v>2.08</v>
      </c>
      <c r="F1049" s="18">
        <v>2.5</v>
      </c>
      <c r="G1049" s="20" t="s">
        <v>4438</v>
      </c>
      <c r="H1049" s="19" t="str">
        <f>HYPERLINK("https://elefant.by/catalogue/586911932","Посмотреть на сайте ...")</f>
        <v>Посмотреть на сайте ...</v>
      </c>
    </row>
    <row r="1050" spans="1:8" s="16" customFormat="1" x14ac:dyDescent="0.25">
      <c r="A1050" s="17">
        <v>1040</v>
      </c>
      <c r="B1050" s="17" t="s">
        <v>20</v>
      </c>
      <c r="C1050" s="17" t="s">
        <v>3330</v>
      </c>
      <c r="D1050" s="18">
        <v>10</v>
      </c>
      <c r="E1050" s="18">
        <v>1.75</v>
      </c>
      <c r="F1050" s="18">
        <v>2.1</v>
      </c>
      <c r="G1050" s="20" t="s">
        <v>4439</v>
      </c>
      <c r="H1050" s="19" t="str">
        <f>HYPERLINK("https://elefant.by/catalogue/449396914","Посмотреть на сайте ...")</f>
        <v>Посмотреть на сайте ...</v>
      </c>
    </row>
    <row r="1051" spans="1:8" s="16" customFormat="1" x14ac:dyDescent="0.25">
      <c r="A1051" s="17">
        <v>1041</v>
      </c>
      <c r="B1051" s="17" t="s">
        <v>11</v>
      </c>
      <c r="C1051" s="17" t="s">
        <v>3331</v>
      </c>
      <c r="D1051" s="18">
        <v>10</v>
      </c>
      <c r="E1051" s="18">
        <v>1.63</v>
      </c>
      <c r="F1051" s="18">
        <v>1.96</v>
      </c>
      <c r="G1051" s="20" t="s">
        <v>4440</v>
      </c>
      <c r="H1051" s="19" t="str">
        <f>HYPERLINK("https://elefant.by/catalogue/586911933","Посмотреть на сайте ...")</f>
        <v>Посмотреть на сайте ...</v>
      </c>
    </row>
    <row r="1052" spans="1:8" s="16" customFormat="1" x14ac:dyDescent="0.25">
      <c r="A1052" s="17">
        <v>1042</v>
      </c>
      <c r="B1052" s="17" t="s">
        <v>11</v>
      </c>
      <c r="C1052" s="17" t="s">
        <v>3332</v>
      </c>
      <c r="D1052" s="18">
        <v>10</v>
      </c>
      <c r="E1052" s="18">
        <v>1.63</v>
      </c>
      <c r="F1052" s="18">
        <v>1.96</v>
      </c>
      <c r="G1052" s="20" t="s">
        <v>4441</v>
      </c>
      <c r="H1052" s="19" t="str">
        <f>HYPERLINK("https://elefant.by/catalogue/586911934","Посмотреть на сайте ...")</f>
        <v>Посмотреть на сайте ...</v>
      </c>
    </row>
    <row r="1053" spans="1:8" s="16" customFormat="1" x14ac:dyDescent="0.25">
      <c r="A1053" s="17">
        <v>1043</v>
      </c>
      <c r="B1053" s="17" t="s">
        <v>11</v>
      </c>
      <c r="C1053" s="17" t="s">
        <v>3333</v>
      </c>
      <c r="D1053" s="18">
        <v>100</v>
      </c>
      <c r="E1053" s="18">
        <v>0.13</v>
      </c>
      <c r="F1053" s="18">
        <v>0.16</v>
      </c>
      <c r="G1053" s="20" t="s">
        <v>4442</v>
      </c>
      <c r="H1053" s="19" t="str">
        <f>HYPERLINK("https://elefant.by/catalogue/163032619","Посмотреть на сайте ...")</f>
        <v>Посмотреть на сайте ...</v>
      </c>
    </row>
    <row r="1054" spans="1:8" s="16" customFormat="1" x14ac:dyDescent="0.25">
      <c r="A1054" s="17">
        <v>1044</v>
      </c>
      <c r="B1054" s="17" t="s">
        <v>11</v>
      </c>
      <c r="C1054" s="17" t="s">
        <v>3334</v>
      </c>
      <c r="D1054" s="18">
        <v>20</v>
      </c>
      <c r="E1054" s="18">
        <v>0.59</v>
      </c>
      <c r="F1054" s="18">
        <v>0.71</v>
      </c>
      <c r="G1054" s="20" t="s">
        <v>4443</v>
      </c>
      <c r="H1054" s="19" t="str">
        <f>HYPERLINK("https://elefant.by/catalogue/513411891","Посмотреть на сайте ...")</f>
        <v>Посмотреть на сайте ...</v>
      </c>
    </row>
    <row r="1055" spans="1:8" s="16" customFormat="1" x14ac:dyDescent="0.25">
      <c r="A1055" s="17">
        <v>1045</v>
      </c>
      <c r="B1055" s="17" t="s">
        <v>9</v>
      </c>
      <c r="C1055" s="17" t="s">
        <v>1292</v>
      </c>
      <c r="D1055" s="18">
        <v>6</v>
      </c>
      <c r="E1055" s="18">
        <v>4.9400000000000004</v>
      </c>
      <c r="F1055" s="18">
        <v>5.93</v>
      </c>
      <c r="G1055" s="20" t="s">
        <v>1293</v>
      </c>
      <c r="H1055" s="19" t="str">
        <f>HYPERLINK("https://elefant.by/catalogue/152434986","Посмотреть на сайте ...")</f>
        <v>Посмотреть на сайте ...</v>
      </c>
    </row>
    <row r="1056" spans="1:8" s="16" customFormat="1" x14ac:dyDescent="0.25">
      <c r="A1056" s="17">
        <v>1046</v>
      </c>
      <c r="B1056" s="17" t="s">
        <v>9</v>
      </c>
      <c r="C1056" s="17" t="s">
        <v>1294</v>
      </c>
      <c r="D1056" s="18">
        <v>12</v>
      </c>
      <c r="E1056" s="18">
        <v>5.15</v>
      </c>
      <c r="F1056" s="18">
        <v>6.18</v>
      </c>
      <c r="G1056" s="20" t="s">
        <v>1295</v>
      </c>
      <c r="H1056" s="19" t="str">
        <f>HYPERLINK("https://elefant.by/catalogue/152146410","Посмотреть на сайте ...")</f>
        <v>Посмотреть на сайте ...</v>
      </c>
    </row>
    <row r="1057" spans="1:8" s="16" customFormat="1" x14ac:dyDescent="0.25">
      <c r="A1057" s="17">
        <v>1047</v>
      </c>
      <c r="B1057" s="17" t="s">
        <v>9</v>
      </c>
      <c r="C1057" s="17" t="s">
        <v>1296</v>
      </c>
      <c r="D1057" s="18">
        <v>3</v>
      </c>
      <c r="E1057" s="18">
        <v>7.31</v>
      </c>
      <c r="F1057" s="18">
        <v>8.77</v>
      </c>
      <c r="G1057" s="20" t="s">
        <v>1297</v>
      </c>
      <c r="H1057" s="19" t="str">
        <f>HYPERLINK("https://elefant.by/catalogue/156455410","Посмотреть на сайте ...")</f>
        <v>Посмотреть на сайте ...</v>
      </c>
    </row>
    <row r="1058" spans="1:8" s="16" customFormat="1" x14ac:dyDescent="0.25">
      <c r="A1058" s="17">
        <v>1048</v>
      </c>
      <c r="B1058" s="17" t="s">
        <v>9</v>
      </c>
      <c r="C1058" s="17" t="s">
        <v>1298</v>
      </c>
      <c r="D1058" s="18">
        <v>12</v>
      </c>
      <c r="E1058" s="18">
        <v>7.66</v>
      </c>
      <c r="F1058" s="18">
        <v>9.19</v>
      </c>
      <c r="G1058" s="20" t="s">
        <v>1299</v>
      </c>
      <c r="H1058" s="19" t="str">
        <f>HYPERLINK("https://elefant.by/catalogue/152146368","Посмотреть на сайте ...")</f>
        <v>Посмотреть на сайте ...</v>
      </c>
    </row>
    <row r="1059" spans="1:8" s="16" customFormat="1" x14ac:dyDescent="0.25">
      <c r="A1059" s="17">
        <v>1049</v>
      </c>
      <c r="B1059" s="17" t="s">
        <v>66</v>
      </c>
      <c r="C1059" s="17" t="s">
        <v>1300</v>
      </c>
      <c r="D1059" s="18">
        <v>6</v>
      </c>
      <c r="E1059" s="18">
        <v>3.39</v>
      </c>
      <c r="F1059" s="18">
        <v>4.07</v>
      </c>
      <c r="G1059" s="20" t="s">
        <v>1301</v>
      </c>
      <c r="H1059" s="19" t="str">
        <f>HYPERLINK("https://elefant.by/catalogue/174304177","Посмотреть на сайте ...")</f>
        <v>Посмотреть на сайте ...</v>
      </c>
    </row>
    <row r="1060" spans="1:8" s="16" customFormat="1" x14ac:dyDescent="0.25">
      <c r="A1060" s="17">
        <v>1050</v>
      </c>
      <c r="B1060" s="17" t="s">
        <v>66</v>
      </c>
      <c r="C1060" s="17" t="s">
        <v>1302</v>
      </c>
      <c r="D1060" s="18">
        <v>12</v>
      </c>
      <c r="E1060" s="18">
        <v>1.57</v>
      </c>
      <c r="F1060" s="18">
        <v>1.88</v>
      </c>
      <c r="G1060" s="20" t="s">
        <v>1303</v>
      </c>
      <c r="H1060" s="19" t="str">
        <f>HYPERLINK("https://elefant.by/catalogue/148584250","Посмотреть на сайте ...")</f>
        <v>Посмотреть на сайте ...</v>
      </c>
    </row>
    <row r="1061" spans="1:8" s="16" customFormat="1" x14ac:dyDescent="0.25">
      <c r="A1061" s="17">
        <v>1051</v>
      </c>
      <c r="B1061" s="17" t="s">
        <v>132</v>
      </c>
      <c r="C1061" s="17" t="s">
        <v>1306</v>
      </c>
      <c r="D1061" s="18">
        <v>1</v>
      </c>
      <c r="E1061" s="18">
        <v>9</v>
      </c>
      <c r="F1061" s="18">
        <v>10.8</v>
      </c>
      <c r="G1061" s="20" t="s">
        <v>1307</v>
      </c>
      <c r="H1061" s="19" t="str">
        <f>HYPERLINK("https://elefant.by/catalogue/586760160","Посмотреть на сайте ...")</f>
        <v>Посмотреть на сайте ...</v>
      </c>
    </row>
    <row r="1062" spans="1:8" s="16" customFormat="1" x14ac:dyDescent="0.25">
      <c r="A1062" s="17">
        <v>1052</v>
      </c>
      <c r="B1062" s="17" t="s">
        <v>66</v>
      </c>
      <c r="C1062" s="17" t="s">
        <v>1308</v>
      </c>
      <c r="D1062" s="18">
        <v>10</v>
      </c>
      <c r="E1062" s="18">
        <v>8.4700000000000006</v>
      </c>
      <c r="F1062" s="18">
        <v>10.16</v>
      </c>
      <c r="G1062" s="20" t="s">
        <v>1309</v>
      </c>
      <c r="H1062" s="19" t="str">
        <f>HYPERLINK("https://elefant.by/catalogue/347873216","Посмотреть на сайте ...")</f>
        <v>Посмотреть на сайте ...</v>
      </c>
    </row>
    <row r="1063" spans="1:8" s="16" customFormat="1" x14ac:dyDescent="0.25">
      <c r="A1063" s="17">
        <v>1053</v>
      </c>
      <c r="B1063" s="17" t="s">
        <v>66</v>
      </c>
      <c r="C1063" s="17" t="s">
        <v>1304</v>
      </c>
      <c r="D1063" s="18">
        <v>8</v>
      </c>
      <c r="E1063" s="18">
        <v>2.2799999999999998</v>
      </c>
      <c r="F1063" s="18">
        <v>2.74</v>
      </c>
      <c r="G1063" s="20" t="s">
        <v>1305</v>
      </c>
      <c r="H1063" s="19" t="str">
        <f>HYPERLINK("https://elefant.by/catalogue/186079242","Посмотреть на сайте ...")</f>
        <v>Посмотреть на сайте ...</v>
      </c>
    </row>
    <row r="1064" spans="1:8" s="16" customFormat="1" x14ac:dyDescent="0.25">
      <c r="A1064" s="17">
        <v>1054</v>
      </c>
      <c r="B1064" s="17" t="s">
        <v>158</v>
      </c>
      <c r="C1064" s="17" t="s">
        <v>3335</v>
      </c>
      <c r="D1064" s="18">
        <v>1</v>
      </c>
      <c r="E1064" s="18">
        <v>1.6</v>
      </c>
      <c r="F1064" s="18">
        <v>1.92</v>
      </c>
      <c r="G1064" s="20" t="s">
        <v>4444</v>
      </c>
      <c r="H1064" s="19" t="str">
        <f>HYPERLINK("https://elefant.by/catalogue/551387979","Посмотреть на сайте ...")</f>
        <v>Посмотреть на сайте ...</v>
      </c>
    </row>
    <row r="1065" spans="1:8" s="16" customFormat="1" x14ac:dyDescent="0.25">
      <c r="A1065" s="17">
        <v>1055</v>
      </c>
      <c r="B1065" s="17" t="s">
        <v>158</v>
      </c>
      <c r="C1065" s="17" t="s">
        <v>3336</v>
      </c>
      <c r="D1065" s="18">
        <v>1</v>
      </c>
      <c r="E1065" s="18">
        <v>1.6</v>
      </c>
      <c r="F1065" s="18">
        <v>1.92</v>
      </c>
      <c r="G1065" s="20" t="s">
        <v>4445</v>
      </c>
      <c r="H1065" s="19" t="str">
        <f>HYPERLINK("https://elefant.by/catalogue/554078806","Посмотреть на сайте ...")</f>
        <v>Посмотреть на сайте ...</v>
      </c>
    </row>
    <row r="1066" spans="1:8" s="16" customFormat="1" x14ac:dyDescent="0.25">
      <c r="A1066" s="17">
        <v>1056</v>
      </c>
      <c r="B1066" s="17" t="s">
        <v>224</v>
      </c>
      <c r="C1066" s="17" t="s">
        <v>3337</v>
      </c>
      <c r="D1066" s="18">
        <v>1</v>
      </c>
      <c r="E1066" s="18">
        <v>6.71</v>
      </c>
      <c r="F1066" s="18">
        <v>8.0500000000000007</v>
      </c>
      <c r="G1066" s="20" t="s">
        <v>4446</v>
      </c>
      <c r="H1066" s="19" t="str">
        <f>HYPERLINK("https://elefant.by/catalogue/445748538","Посмотреть на сайте ...")</f>
        <v>Посмотреть на сайте ...</v>
      </c>
    </row>
    <row r="1067" spans="1:8" s="16" customFormat="1" x14ac:dyDescent="0.25">
      <c r="A1067" s="17">
        <v>1057</v>
      </c>
      <c r="B1067" s="17" t="s">
        <v>664</v>
      </c>
      <c r="C1067" s="17" t="s">
        <v>3338</v>
      </c>
      <c r="D1067" s="18">
        <v>1</v>
      </c>
      <c r="E1067" s="18">
        <v>4.3</v>
      </c>
      <c r="F1067" s="18">
        <v>5.16</v>
      </c>
      <c r="G1067" s="20" t="s">
        <v>4447</v>
      </c>
      <c r="H1067" s="19" t="str">
        <f>HYPERLINK("https://elefant.by/catalogue/178826848","Посмотреть на сайте ...")</f>
        <v>Посмотреть на сайте ...</v>
      </c>
    </row>
    <row r="1068" spans="1:8" s="16" customFormat="1" x14ac:dyDescent="0.25">
      <c r="A1068" s="17">
        <v>1058</v>
      </c>
      <c r="B1068" s="17" t="s">
        <v>3339</v>
      </c>
      <c r="C1068" s="17" t="s">
        <v>3340</v>
      </c>
      <c r="D1068" s="18">
        <v>1</v>
      </c>
      <c r="E1068" s="18">
        <v>1.01</v>
      </c>
      <c r="F1068" s="18">
        <v>1.21</v>
      </c>
      <c r="G1068" s="20" t="s">
        <v>4448</v>
      </c>
      <c r="H1068" s="19" t="str">
        <f>HYPERLINK("https://elefant.by/catalogue/680382151","Посмотреть на сайте ...")</f>
        <v>Посмотреть на сайте ...</v>
      </c>
    </row>
    <row r="1069" spans="1:8" s="16" customFormat="1" x14ac:dyDescent="0.25">
      <c r="A1069" s="17">
        <v>1059</v>
      </c>
      <c r="B1069" s="17" t="s">
        <v>3339</v>
      </c>
      <c r="C1069" s="17" t="s">
        <v>3341</v>
      </c>
      <c r="D1069" s="18">
        <v>1</v>
      </c>
      <c r="E1069" s="18">
        <v>1.01</v>
      </c>
      <c r="F1069" s="18">
        <v>1.21</v>
      </c>
      <c r="G1069" s="20" t="s">
        <v>4449</v>
      </c>
      <c r="H1069" s="19" t="str">
        <f>HYPERLINK("https://elefant.by/catalogue/680382152","Посмотреть на сайте ...")</f>
        <v>Посмотреть на сайте ...</v>
      </c>
    </row>
    <row r="1070" spans="1:8" s="16" customFormat="1" x14ac:dyDescent="0.25">
      <c r="A1070" s="17">
        <v>1060</v>
      </c>
      <c r="B1070" s="17" t="s">
        <v>3339</v>
      </c>
      <c r="C1070" s="17" t="s">
        <v>3342</v>
      </c>
      <c r="D1070" s="18">
        <v>100</v>
      </c>
      <c r="E1070" s="18">
        <v>0.06</v>
      </c>
      <c r="F1070" s="18">
        <v>7.0000000000000007E-2</v>
      </c>
      <c r="G1070" s="20" t="s">
        <v>4450</v>
      </c>
      <c r="H1070" s="19" t="str">
        <f>HYPERLINK("https://elefant.by/catalogue/571728371","Посмотреть на сайте ...")</f>
        <v>Посмотреть на сайте ...</v>
      </c>
    </row>
    <row r="1071" spans="1:8" s="16" customFormat="1" x14ac:dyDescent="0.25">
      <c r="A1071" s="17">
        <v>1061</v>
      </c>
      <c r="B1071" s="17" t="s">
        <v>3339</v>
      </c>
      <c r="C1071" s="17" t="s">
        <v>3343</v>
      </c>
      <c r="D1071" s="18">
        <v>1</v>
      </c>
      <c r="E1071" s="18">
        <v>1.19</v>
      </c>
      <c r="F1071" s="18">
        <v>1.43</v>
      </c>
      <c r="G1071" s="20" t="s">
        <v>4451</v>
      </c>
      <c r="H1071" s="19" t="str">
        <f>HYPERLINK("https://elefant.by/catalogue/584339060","Посмотреть на сайте ...")</f>
        <v>Посмотреть на сайте ...</v>
      </c>
    </row>
    <row r="1072" spans="1:8" s="16" customFormat="1" x14ac:dyDescent="0.25">
      <c r="A1072" s="17">
        <v>1062</v>
      </c>
      <c r="B1072" s="17" t="s">
        <v>3339</v>
      </c>
      <c r="C1072" s="17" t="s">
        <v>3344</v>
      </c>
      <c r="D1072" s="18">
        <v>1</v>
      </c>
      <c r="E1072" s="18">
        <v>1.19</v>
      </c>
      <c r="F1072" s="18">
        <v>1.43</v>
      </c>
      <c r="G1072" s="20" t="s">
        <v>4452</v>
      </c>
      <c r="H1072" s="19" t="str">
        <f>HYPERLINK("https://elefant.by/catalogue/680382153","Посмотреть на сайте ...")</f>
        <v>Посмотреть на сайте ...</v>
      </c>
    </row>
    <row r="1073" spans="1:8" s="16" customFormat="1" x14ac:dyDescent="0.25">
      <c r="A1073" s="17">
        <v>1063</v>
      </c>
      <c r="B1073" s="17" t="s">
        <v>3339</v>
      </c>
      <c r="C1073" s="17" t="s">
        <v>3345</v>
      </c>
      <c r="D1073" s="18">
        <v>50</v>
      </c>
      <c r="E1073" s="18">
        <v>0.3</v>
      </c>
      <c r="F1073" s="18">
        <v>0.36</v>
      </c>
      <c r="G1073" s="20" t="s">
        <v>4453</v>
      </c>
      <c r="H1073" s="19" t="str">
        <f>HYPERLINK("https://elefant.by/catalogue/680382158","Посмотреть на сайте ...")</f>
        <v>Посмотреть на сайте ...</v>
      </c>
    </row>
    <row r="1074" spans="1:8" s="16" customFormat="1" x14ac:dyDescent="0.25">
      <c r="A1074" s="17">
        <v>1064</v>
      </c>
      <c r="B1074" s="17" t="s">
        <v>3339</v>
      </c>
      <c r="C1074" s="17" t="s">
        <v>3346</v>
      </c>
      <c r="D1074" s="18">
        <v>10</v>
      </c>
      <c r="E1074" s="18">
        <v>0.56000000000000005</v>
      </c>
      <c r="F1074" s="18">
        <v>0.67</v>
      </c>
      <c r="G1074" s="20" t="s">
        <v>4454</v>
      </c>
      <c r="H1074" s="19" t="str">
        <f>HYPERLINK("https://elefant.by/catalogue/577557625","Посмотреть на сайте ...")</f>
        <v>Посмотреть на сайте ...</v>
      </c>
    </row>
    <row r="1075" spans="1:8" s="16" customFormat="1" x14ac:dyDescent="0.25">
      <c r="A1075" s="17">
        <v>1065</v>
      </c>
      <c r="B1075" s="17" t="s">
        <v>3339</v>
      </c>
      <c r="C1075" s="17" t="s">
        <v>3347</v>
      </c>
      <c r="D1075" s="18">
        <v>10</v>
      </c>
      <c r="E1075" s="18">
        <v>0.56000000000000005</v>
      </c>
      <c r="F1075" s="18">
        <v>0.67</v>
      </c>
      <c r="G1075" s="20" t="s">
        <v>4455</v>
      </c>
      <c r="H1075" s="19" t="str">
        <f>HYPERLINK("https://elefant.by/catalogue/577557626","Посмотреть на сайте ...")</f>
        <v>Посмотреть на сайте ...</v>
      </c>
    </row>
    <row r="1076" spans="1:8" s="16" customFormat="1" x14ac:dyDescent="0.25">
      <c r="A1076" s="17">
        <v>1066</v>
      </c>
      <c r="B1076" s="17" t="s">
        <v>3339</v>
      </c>
      <c r="C1076" s="17" t="s">
        <v>3348</v>
      </c>
      <c r="D1076" s="18">
        <v>10</v>
      </c>
      <c r="E1076" s="18">
        <v>0.56000000000000005</v>
      </c>
      <c r="F1076" s="18">
        <v>0.67</v>
      </c>
      <c r="G1076" s="20" t="s">
        <v>4456</v>
      </c>
      <c r="H1076" s="19" t="str">
        <f>HYPERLINK("https://elefant.by/catalogue/686247346","Посмотреть на сайте ...")</f>
        <v>Посмотреть на сайте ...</v>
      </c>
    </row>
    <row r="1077" spans="1:8" s="16" customFormat="1" x14ac:dyDescent="0.25">
      <c r="A1077" s="17">
        <v>1067</v>
      </c>
      <c r="B1077" s="17" t="s">
        <v>3339</v>
      </c>
      <c r="C1077" s="17" t="s">
        <v>3349</v>
      </c>
      <c r="D1077" s="18">
        <v>10</v>
      </c>
      <c r="E1077" s="18">
        <v>0.56000000000000005</v>
      </c>
      <c r="F1077" s="18">
        <v>0.67</v>
      </c>
      <c r="G1077" s="20" t="s">
        <v>4457</v>
      </c>
      <c r="H1077" s="19" t="str">
        <f>HYPERLINK("https://elefant.by/catalogue/674437332","Посмотреть на сайте ...")</f>
        <v>Посмотреть на сайте ...</v>
      </c>
    </row>
    <row r="1078" spans="1:8" s="16" customFormat="1" x14ac:dyDescent="0.25">
      <c r="A1078" s="17">
        <v>1068</v>
      </c>
      <c r="B1078" s="17" t="s">
        <v>3339</v>
      </c>
      <c r="C1078" s="17" t="s">
        <v>3350</v>
      </c>
      <c r="D1078" s="18">
        <v>10</v>
      </c>
      <c r="E1078" s="18">
        <v>0.56000000000000005</v>
      </c>
      <c r="F1078" s="18">
        <v>0.67</v>
      </c>
      <c r="G1078" s="20" t="s">
        <v>4458</v>
      </c>
      <c r="H1078" s="19" t="str">
        <f>HYPERLINK("https://elefant.by/catalogue/584339069","Посмотреть на сайте ...")</f>
        <v>Посмотреть на сайте ...</v>
      </c>
    </row>
    <row r="1079" spans="1:8" s="16" customFormat="1" x14ac:dyDescent="0.25">
      <c r="A1079" s="17">
        <v>1069</v>
      </c>
      <c r="B1079" s="17" t="s">
        <v>3339</v>
      </c>
      <c r="C1079" s="17" t="s">
        <v>3351</v>
      </c>
      <c r="D1079" s="18">
        <v>1</v>
      </c>
      <c r="E1079" s="18">
        <v>1.4</v>
      </c>
      <c r="F1079" s="18">
        <v>1.68</v>
      </c>
      <c r="G1079" s="20" t="s">
        <v>4459</v>
      </c>
      <c r="H1079" s="19" t="str">
        <f>HYPERLINK("https://elefant.by/catalogue/628635250","Посмотреть на сайте ...")</f>
        <v>Посмотреть на сайте ...</v>
      </c>
    </row>
    <row r="1080" spans="1:8" s="16" customFormat="1" x14ac:dyDescent="0.25">
      <c r="A1080" s="17">
        <v>1070</v>
      </c>
      <c r="B1080" s="17" t="s">
        <v>3339</v>
      </c>
      <c r="C1080" s="17" t="s">
        <v>3352</v>
      </c>
      <c r="D1080" s="18">
        <v>1</v>
      </c>
      <c r="E1080" s="18">
        <v>1.4</v>
      </c>
      <c r="F1080" s="18">
        <v>1.68</v>
      </c>
      <c r="G1080" s="20" t="s">
        <v>4460</v>
      </c>
      <c r="H1080" s="19" t="str">
        <f>HYPERLINK("https://elefant.by/catalogue/665643485","Посмотреть на сайте ...")</f>
        <v>Посмотреть на сайте ...</v>
      </c>
    </row>
    <row r="1081" spans="1:8" s="16" customFormat="1" x14ac:dyDescent="0.25">
      <c r="A1081" s="17">
        <v>1071</v>
      </c>
      <c r="B1081" s="17" t="s">
        <v>3339</v>
      </c>
      <c r="C1081" s="17" t="s">
        <v>3353</v>
      </c>
      <c r="D1081" s="18">
        <v>1</v>
      </c>
      <c r="E1081" s="18">
        <v>1.4</v>
      </c>
      <c r="F1081" s="18">
        <v>1.68</v>
      </c>
      <c r="G1081" s="20" t="s">
        <v>4461</v>
      </c>
      <c r="H1081" s="19" t="str">
        <f>HYPERLINK("https://elefant.by/catalogue/604360459","Посмотреть на сайте ...")</f>
        <v>Посмотреть на сайте ...</v>
      </c>
    </row>
    <row r="1082" spans="1:8" s="16" customFormat="1" x14ac:dyDescent="0.25">
      <c r="A1082" s="17">
        <v>1072</v>
      </c>
      <c r="B1082" s="17" t="s">
        <v>3339</v>
      </c>
      <c r="C1082" s="17" t="s">
        <v>3354</v>
      </c>
      <c r="D1082" s="18">
        <v>1</v>
      </c>
      <c r="E1082" s="18">
        <v>1.4</v>
      </c>
      <c r="F1082" s="18">
        <v>1.68</v>
      </c>
      <c r="G1082" s="20" t="s">
        <v>4462</v>
      </c>
      <c r="H1082" s="19" t="str">
        <f>HYPERLINK("https://elefant.by/catalogue/612235403","Посмотреть на сайте ...")</f>
        <v>Посмотреть на сайте ...</v>
      </c>
    </row>
    <row r="1083" spans="1:8" s="16" customFormat="1" x14ac:dyDescent="0.25">
      <c r="A1083" s="17">
        <v>1073</v>
      </c>
      <c r="B1083" s="17" t="s">
        <v>3339</v>
      </c>
      <c r="C1083" s="17" t="s">
        <v>3355</v>
      </c>
      <c r="D1083" s="18">
        <v>1</v>
      </c>
      <c r="E1083" s="18">
        <v>1.4</v>
      </c>
      <c r="F1083" s="18">
        <v>1.68</v>
      </c>
      <c r="G1083" s="20" t="s">
        <v>4463</v>
      </c>
      <c r="H1083" s="19" t="str">
        <f>HYPERLINK("https://elefant.by/catalogue/612235404","Посмотреть на сайте ...")</f>
        <v>Посмотреть на сайте ...</v>
      </c>
    </row>
    <row r="1084" spans="1:8" s="16" customFormat="1" x14ac:dyDescent="0.25">
      <c r="A1084" s="17">
        <v>1074</v>
      </c>
      <c r="B1084" s="17" t="s">
        <v>3339</v>
      </c>
      <c r="C1084" s="17" t="s">
        <v>3356</v>
      </c>
      <c r="D1084" s="18">
        <v>50</v>
      </c>
      <c r="E1084" s="18">
        <v>0.21</v>
      </c>
      <c r="F1084" s="18">
        <v>0.25</v>
      </c>
      <c r="G1084" s="20" t="s">
        <v>4464</v>
      </c>
      <c r="H1084" s="19" t="str">
        <f>HYPERLINK("https://elefant.by/catalogue/638004283","Посмотреть на сайте ...")</f>
        <v>Посмотреть на сайте ...</v>
      </c>
    </row>
    <row r="1085" spans="1:8" s="16" customFormat="1" x14ac:dyDescent="0.25">
      <c r="A1085" s="17">
        <v>1075</v>
      </c>
      <c r="B1085" s="17" t="s">
        <v>3339</v>
      </c>
      <c r="C1085" s="17" t="s">
        <v>3357</v>
      </c>
      <c r="D1085" s="18">
        <v>50</v>
      </c>
      <c r="E1085" s="18">
        <v>0.21</v>
      </c>
      <c r="F1085" s="18">
        <v>0.25</v>
      </c>
      <c r="G1085" s="20" t="s">
        <v>4465</v>
      </c>
      <c r="H1085" s="19" t="str">
        <f>HYPERLINK("https://elefant.by/catalogue/638004284","Посмотреть на сайте ...")</f>
        <v>Посмотреть на сайте ...</v>
      </c>
    </row>
    <row r="1086" spans="1:8" s="16" customFormat="1" x14ac:dyDescent="0.25">
      <c r="A1086" s="17">
        <v>1076</v>
      </c>
      <c r="B1086" s="17" t="s">
        <v>3339</v>
      </c>
      <c r="C1086" s="17" t="s">
        <v>3358</v>
      </c>
      <c r="D1086" s="18">
        <v>50</v>
      </c>
      <c r="E1086" s="18">
        <v>0.23</v>
      </c>
      <c r="F1086" s="18">
        <v>0.28000000000000003</v>
      </c>
      <c r="G1086" s="20" t="s">
        <v>4466</v>
      </c>
      <c r="H1086" s="19" t="str">
        <f>HYPERLINK("https://elefant.by/catalogue/627278032","Посмотреть на сайте ...")</f>
        <v>Посмотреть на сайте ...</v>
      </c>
    </row>
    <row r="1087" spans="1:8" s="16" customFormat="1" x14ac:dyDescent="0.25">
      <c r="A1087" s="17">
        <v>1077</v>
      </c>
      <c r="B1087" s="17" t="s">
        <v>3339</v>
      </c>
      <c r="C1087" s="17" t="s">
        <v>3359</v>
      </c>
      <c r="D1087" s="18">
        <v>50</v>
      </c>
      <c r="E1087" s="18">
        <v>0.23</v>
      </c>
      <c r="F1087" s="18">
        <v>0.28000000000000003</v>
      </c>
      <c r="G1087" s="20" t="s">
        <v>4467</v>
      </c>
      <c r="H1087" s="19" t="str">
        <f>HYPERLINK("https://elefant.by/catalogue/627278033","Посмотреть на сайте ...")</f>
        <v>Посмотреть на сайте ...</v>
      </c>
    </row>
    <row r="1088" spans="1:8" s="16" customFormat="1" x14ac:dyDescent="0.25">
      <c r="A1088" s="17">
        <v>1078</v>
      </c>
      <c r="B1088" s="17" t="s">
        <v>3339</v>
      </c>
      <c r="C1088" s="17" t="s">
        <v>3360</v>
      </c>
      <c r="D1088" s="18">
        <v>50</v>
      </c>
      <c r="E1088" s="18">
        <v>0.23</v>
      </c>
      <c r="F1088" s="18">
        <v>0.28000000000000003</v>
      </c>
      <c r="G1088" s="20" t="s">
        <v>4468</v>
      </c>
      <c r="H1088" s="19" t="str">
        <f>HYPERLINK("https://elefant.by/catalogue/618999345","Посмотреть на сайте ...")</f>
        <v>Посмотреть на сайте ...</v>
      </c>
    </row>
    <row r="1089" spans="1:8" s="16" customFormat="1" x14ac:dyDescent="0.25">
      <c r="A1089" s="17">
        <v>1079</v>
      </c>
      <c r="B1089" s="17" t="s">
        <v>3339</v>
      </c>
      <c r="C1089" s="17" t="s">
        <v>3361</v>
      </c>
      <c r="D1089" s="18">
        <v>50</v>
      </c>
      <c r="E1089" s="18">
        <v>0.23</v>
      </c>
      <c r="F1089" s="18">
        <v>0.28000000000000003</v>
      </c>
      <c r="G1089" s="20" t="s">
        <v>4469</v>
      </c>
      <c r="H1089" s="19" t="str">
        <f>HYPERLINK("https://elefant.by/catalogue/638004274","Посмотреть на сайте ...")</f>
        <v>Посмотреть на сайте ...</v>
      </c>
    </row>
    <row r="1090" spans="1:8" s="16" customFormat="1" x14ac:dyDescent="0.25">
      <c r="A1090" s="17">
        <v>1080</v>
      </c>
      <c r="B1090" s="17" t="s">
        <v>3339</v>
      </c>
      <c r="C1090" s="17" t="s">
        <v>3362</v>
      </c>
      <c r="D1090" s="18">
        <v>50</v>
      </c>
      <c r="E1090" s="18">
        <v>0.15</v>
      </c>
      <c r="F1090" s="18">
        <v>0.18</v>
      </c>
      <c r="G1090" s="20" t="s">
        <v>4470</v>
      </c>
      <c r="H1090" s="19" t="str">
        <f>HYPERLINK("https://elefant.by/catalogue/571524639","Посмотреть на сайте ...")</f>
        <v>Посмотреть на сайте ...</v>
      </c>
    </row>
    <row r="1091" spans="1:8" s="16" customFormat="1" x14ac:dyDescent="0.25">
      <c r="A1091" s="17">
        <v>1081</v>
      </c>
      <c r="B1091" s="17" t="s">
        <v>3339</v>
      </c>
      <c r="C1091" s="17" t="s">
        <v>3363</v>
      </c>
      <c r="D1091" s="18">
        <v>50</v>
      </c>
      <c r="E1091" s="18">
        <v>0.14000000000000001</v>
      </c>
      <c r="F1091" s="18">
        <v>0.17</v>
      </c>
      <c r="G1091" s="20" t="s">
        <v>4471</v>
      </c>
      <c r="H1091" s="19" t="str">
        <f>HYPERLINK("https://elefant.by/catalogue/570992691","Посмотреть на сайте ...")</f>
        <v>Посмотреть на сайте ...</v>
      </c>
    </row>
    <row r="1092" spans="1:8" s="16" customFormat="1" x14ac:dyDescent="0.25">
      <c r="A1092" s="17">
        <v>1082</v>
      </c>
      <c r="B1092" s="17" t="s">
        <v>3339</v>
      </c>
      <c r="C1092" s="17" t="s">
        <v>3364</v>
      </c>
      <c r="D1092" s="18">
        <v>50</v>
      </c>
      <c r="E1092" s="18">
        <v>0.17</v>
      </c>
      <c r="F1092" s="18">
        <v>0.2</v>
      </c>
      <c r="G1092" s="20" t="s">
        <v>4472</v>
      </c>
      <c r="H1092" s="19" t="str">
        <f>HYPERLINK("https://elefant.by/catalogue/571524641","Посмотреть на сайте ...")</f>
        <v>Посмотреть на сайте ...</v>
      </c>
    </row>
    <row r="1093" spans="1:8" s="16" customFormat="1" x14ac:dyDescent="0.25">
      <c r="A1093" s="17">
        <v>1083</v>
      </c>
      <c r="B1093" s="17" t="s">
        <v>3339</v>
      </c>
      <c r="C1093" s="17" t="s">
        <v>3365</v>
      </c>
      <c r="D1093" s="18">
        <v>50</v>
      </c>
      <c r="E1093" s="18">
        <v>0.17</v>
      </c>
      <c r="F1093" s="18">
        <v>0.2</v>
      </c>
      <c r="G1093" s="20" t="s">
        <v>4473</v>
      </c>
      <c r="H1093" s="19" t="str">
        <f>HYPERLINK("https://elefant.by/catalogue/571678070","Посмотреть на сайте ...")</f>
        <v>Посмотреть на сайте ...</v>
      </c>
    </row>
    <row r="1094" spans="1:8" s="16" customFormat="1" x14ac:dyDescent="0.25">
      <c r="A1094" s="17">
        <v>1084</v>
      </c>
      <c r="B1094" s="17" t="s">
        <v>3339</v>
      </c>
      <c r="C1094" s="17" t="s">
        <v>3366</v>
      </c>
      <c r="D1094" s="18">
        <v>50</v>
      </c>
      <c r="E1094" s="18">
        <v>0.16</v>
      </c>
      <c r="F1094" s="18">
        <v>0.19</v>
      </c>
      <c r="G1094" s="20" t="s">
        <v>4474</v>
      </c>
      <c r="H1094" s="19" t="str">
        <f>HYPERLINK("https://elefant.by/catalogue/571728352","Посмотреть на сайте ...")</f>
        <v>Посмотреть на сайте ...</v>
      </c>
    </row>
    <row r="1095" spans="1:8" s="16" customFormat="1" x14ac:dyDescent="0.25">
      <c r="A1095" s="17">
        <v>1085</v>
      </c>
      <c r="B1095" s="17" t="s">
        <v>3339</v>
      </c>
      <c r="C1095" s="17" t="s">
        <v>3367</v>
      </c>
      <c r="D1095" s="18">
        <v>50</v>
      </c>
      <c r="E1095" s="18">
        <v>0.34</v>
      </c>
      <c r="F1095" s="18">
        <v>0.41</v>
      </c>
      <c r="G1095" s="20" t="s">
        <v>4475</v>
      </c>
      <c r="H1095" s="19" t="str">
        <f>HYPERLINK("https://elefant.by/catalogue/570992683","Посмотреть на сайте ...")</f>
        <v>Посмотреть на сайте ...</v>
      </c>
    </row>
    <row r="1096" spans="1:8" s="16" customFormat="1" x14ac:dyDescent="0.25">
      <c r="A1096" s="17">
        <v>1086</v>
      </c>
      <c r="B1096" s="17" t="s">
        <v>3339</v>
      </c>
      <c r="C1096" s="17" t="s">
        <v>3368</v>
      </c>
      <c r="D1096" s="18">
        <v>50</v>
      </c>
      <c r="E1096" s="18">
        <v>0.34</v>
      </c>
      <c r="F1096" s="18">
        <v>0.41</v>
      </c>
      <c r="G1096" s="20" t="s">
        <v>4476</v>
      </c>
      <c r="H1096" s="19" t="str">
        <f>HYPERLINK("https://elefant.by/catalogue/665643487","Посмотреть на сайте ...")</f>
        <v>Посмотреть на сайте ...</v>
      </c>
    </row>
    <row r="1097" spans="1:8" s="16" customFormat="1" x14ac:dyDescent="0.25">
      <c r="A1097" s="17">
        <v>1087</v>
      </c>
      <c r="B1097" s="17" t="s">
        <v>3339</v>
      </c>
      <c r="C1097" s="17" t="s">
        <v>3369</v>
      </c>
      <c r="D1097" s="18">
        <v>50</v>
      </c>
      <c r="E1097" s="18">
        <v>0.18</v>
      </c>
      <c r="F1097" s="18">
        <v>0.22</v>
      </c>
      <c r="G1097" s="20" t="s">
        <v>4477</v>
      </c>
      <c r="H1097" s="19" t="str">
        <f>HYPERLINK("https://elefant.by/catalogue/674437338","Посмотреть на сайте ...")</f>
        <v>Посмотреть на сайте ...</v>
      </c>
    </row>
    <row r="1098" spans="1:8" s="16" customFormat="1" x14ac:dyDescent="0.25">
      <c r="A1098" s="17">
        <v>1088</v>
      </c>
      <c r="B1098" s="17" t="s">
        <v>3339</v>
      </c>
      <c r="C1098" s="17" t="s">
        <v>3370</v>
      </c>
      <c r="D1098" s="18">
        <v>50</v>
      </c>
      <c r="E1098" s="18">
        <v>0.12</v>
      </c>
      <c r="F1098" s="18">
        <v>0.14000000000000001</v>
      </c>
      <c r="G1098" s="20" t="s">
        <v>4478</v>
      </c>
      <c r="H1098" s="19" t="str">
        <f>HYPERLINK("https://elefant.by/catalogue/571728358","Посмотреть на сайте ...")</f>
        <v>Посмотреть на сайте ...</v>
      </c>
    </row>
    <row r="1099" spans="1:8" s="16" customFormat="1" x14ac:dyDescent="0.25">
      <c r="A1099" s="17">
        <v>1089</v>
      </c>
      <c r="B1099" s="17" t="s">
        <v>3339</v>
      </c>
      <c r="C1099" s="17" t="s">
        <v>3371</v>
      </c>
      <c r="D1099" s="18">
        <v>50</v>
      </c>
      <c r="E1099" s="18">
        <v>0.21</v>
      </c>
      <c r="F1099" s="18">
        <v>0.25</v>
      </c>
      <c r="G1099" s="20" t="s">
        <v>4479</v>
      </c>
      <c r="H1099" s="19" t="str">
        <f>HYPERLINK("https://elefant.by/catalogue/584339085","Посмотреть на сайте ...")</f>
        <v>Посмотреть на сайте ...</v>
      </c>
    </row>
    <row r="1100" spans="1:8" s="16" customFormat="1" x14ac:dyDescent="0.25">
      <c r="A1100" s="17">
        <v>1090</v>
      </c>
      <c r="B1100" s="17" t="s">
        <v>3339</v>
      </c>
      <c r="C1100" s="17" t="s">
        <v>3372</v>
      </c>
      <c r="D1100" s="18">
        <v>50</v>
      </c>
      <c r="E1100" s="18">
        <v>0.21</v>
      </c>
      <c r="F1100" s="18">
        <v>0.25</v>
      </c>
      <c r="G1100" s="20" t="s">
        <v>4480</v>
      </c>
      <c r="H1100" s="19" t="str">
        <f>HYPERLINK("https://elefant.by/catalogue/571728349","Посмотреть на сайте ...")</f>
        <v>Посмотреть на сайте ...</v>
      </c>
    </row>
    <row r="1101" spans="1:8" s="16" customFormat="1" x14ac:dyDescent="0.25">
      <c r="A1101" s="17">
        <v>1091</v>
      </c>
      <c r="B1101" s="17" t="s">
        <v>3339</v>
      </c>
      <c r="C1101" s="17" t="s">
        <v>3373</v>
      </c>
      <c r="D1101" s="18">
        <v>50</v>
      </c>
      <c r="E1101" s="18">
        <v>0.28999999999999998</v>
      </c>
      <c r="F1101" s="18">
        <v>0.35</v>
      </c>
      <c r="G1101" s="20" t="s">
        <v>4481</v>
      </c>
      <c r="H1101" s="19" t="str">
        <f>HYPERLINK("https://elefant.by/catalogue/674437334","Посмотреть на сайте ...")</f>
        <v>Посмотреть на сайте ...</v>
      </c>
    </row>
    <row r="1102" spans="1:8" s="16" customFormat="1" x14ac:dyDescent="0.25">
      <c r="A1102" s="17">
        <v>1092</v>
      </c>
      <c r="B1102" s="17" t="s">
        <v>3339</v>
      </c>
      <c r="C1102" s="17" t="s">
        <v>3374</v>
      </c>
      <c r="D1102" s="18">
        <v>50</v>
      </c>
      <c r="E1102" s="18">
        <v>0.28999999999999998</v>
      </c>
      <c r="F1102" s="18">
        <v>0.35</v>
      </c>
      <c r="G1102" s="20" t="s">
        <v>4482</v>
      </c>
      <c r="H1102" s="19" t="str">
        <f>HYPERLINK("https://elefant.by/catalogue/674437335","Посмотреть на сайте ...")</f>
        <v>Посмотреть на сайте ...</v>
      </c>
    </row>
    <row r="1103" spans="1:8" s="16" customFormat="1" x14ac:dyDescent="0.25">
      <c r="A1103" s="17">
        <v>1093</v>
      </c>
      <c r="B1103" s="17" t="s">
        <v>3339</v>
      </c>
      <c r="C1103" s="17" t="s">
        <v>3375</v>
      </c>
      <c r="D1103" s="18">
        <v>50</v>
      </c>
      <c r="E1103" s="18">
        <v>0.32</v>
      </c>
      <c r="F1103" s="18">
        <v>0.38</v>
      </c>
      <c r="G1103" s="20" t="s">
        <v>4483</v>
      </c>
      <c r="H1103" s="19" t="str">
        <f>HYPERLINK("https://elefant.by/catalogue/638004277","Посмотреть на сайте ...")</f>
        <v>Посмотреть на сайте ...</v>
      </c>
    </row>
    <row r="1104" spans="1:8" s="16" customFormat="1" x14ac:dyDescent="0.25">
      <c r="A1104" s="17">
        <v>1094</v>
      </c>
      <c r="B1104" s="17" t="s">
        <v>3339</v>
      </c>
      <c r="C1104" s="17" t="s">
        <v>3376</v>
      </c>
      <c r="D1104" s="18">
        <v>50</v>
      </c>
      <c r="E1104" s="18">
        <v>0.17</v>
      </c>
      <c r="F1104" s="18">
        <v>0.2</v>
      </c>
      <c r="G1104" s="20" t="s">
        <v>4484</v>
      </c>
      <c r="H1104" s="19" t="str">
        <f>HYPERLINK("https://elefant.by/catalogue/570992693","Посмотреть на сайте ...")</f>
        <v>Посмотреть на сайте ...</v>
      </c>
    </row>
    <row r="1105" spans="1:8" s="16" customFormat="1" x14ac:dyDescent="0.25">
      <c r="A1105" s="17">
        <v>1095</v>
      </c>
      <c r="B1105" s="17" t="s">
        <v>3339</v>
      </c>
      <c r="C1105" s="17" t="s">
        <v>3377</v>
      </c>
      <c r="D1105" s="18">
        <v>50</v>
      </c>
      <c r="E1105" s="18">
        <v>0.16</v>
      </c>
      <c r="F1105" s="18">
        <v>0.19</v>
      </c>
      <c r="G1105" s="20" t="s">
        <v>4485</v>
      </c>
      <c r="H1105" s="19" t="str">
        <f>HYPERLINK("https://elefant.by/catalogue/570992694","Посмотреть на сайте ...")</f>
        <v>Посмотреть на сайте ...</v>
      </c>
    </row>
    <row r="1106" spans="1:8" s="16" customFormat="1" x14ac:dyDescent="0.25">
      <c r="A1106" s="17">
        <v>1096</v>
      </c>
      <c r="B1106" s="17" t="s">
        <v>158</v>
      </c>
      <c r="C1106" s="17" t="s">
        <v>3378</v>
      </c>
      <c r="D1106" s="18">
        <v>100</v>
      </c>
      <c r="E1106" s="18">
        <v>0.16</v>
      </c>
      <c r="F1106" s="18">
        <v>0.19</v>
      </c>
      <c r="G1106" s="20"/>
      <c r="H1106" s="19" t="str">
        <f>HYPERLINK("https://elefant.by/catalogue/165359119","Посмотреть на сайте ...")</f>
        <v>Посмотреть на сайте ...</v>
      </c>
    </row>
    <row r="1107" spans="1:8" s="16" customFormat="1" x14ac:dyDescent="0.25">
      <c r="A1107" s="17">
        <v>1097</v>
      </c>
      <c r="B1107" s="17" t="s">
        <v>158</v>
      </c>
      <c r="C1107" s="17" t="s">
        <v>3379</v>
      </c>
      <c r="D1107" s="18">
        <v>100</v>
      </c>
      <c r="E1107" s="18">
        <v>0.16</v>
      </c>
      <c r="F1107" s="18">
        <v>0.19</v>
      </c>
      <c r="G1107" s="20"/>
      <c r="H1107" s="19" t="str">
        <f>HYPERLINK("https://elefant.by/catalogue/165053323","Посмотреть на сайте ...")</f>
        <v>Посмотреть на сайте ...</v>
      </c>
    </row>
    <row r="1108" spans="1:8" s="16" customFormat="1" x14ac:dyDescent="0.25">
      <c r="A1108" s="17">
        <v>1098</v>
      </c>
      <c r="B1108" s="17" t="s">
        <v>158</v>
      </c>
      <c r="C1108" s="17" t="s">
        <v>1310</v>
      </c>
      <c r="D1108" s="18">
        <v>10</v>
      </c>
      <c r="E1108" s="18">
        <v>4.33</v>
      </c>
      <c r="F1108" s="18">
        <v>5.2</v>
      </c>
      <c r="G1108" s="20" t="s">
        <v>1311</v>
      </c>
      <c r="H1108" s="19" t="str">
        <f>HYPERLINK("https://elefant.by/catalogue/535562809","Посмотреть на сайте ...")</f>
        <v>Посмотреть на сайте ...</v>
      </c>
    </row>
    <row r="1109" spans="1:8" s="16" customFormat="1" x14ac:dyDescent="0.25">
      <c r="A1109" s="17">
        <v>1099</v>
      </c>
      <c r="B1109" s="17" t="s">
        <v>158</v>
      </c>
      <c r="C1109" s="17" t="s">
        <v>1312</v>
      </c>
      <c r="D1109" s="18">
        <v>10</v>
      </c>
      <c r="E1109" s="18">
        <v>1.25</v>
      </c>
      <c r="F1109" s="18">
        <v>1.5</v>
      </c>
      <c r="G1109" s="20" t="s">
        <v>1313</v>
      </c>
      <c r="H1109" s="19" t="str">
        <f>HYPERLINK("https://elefant.by/catalogue/535562810","Посмотреть на сайте ...")</f>
        <v>Посмотреть на сайте ...</v>
      </c>
    </row>
    <row r="1110" spans="1:8" s="16" customFormat="1" x14ac:dyDescent="0.25">
      <c r="A1110" s="17">
        <v>1100</v>
      </c>
      <c r="B1110" s="17" t="s">
        <v>158</v>
      </c>
      <c r="C1110" s="17" t="s">
        <v>3380</v>
      </c>
      <c r="D1110" s="18">
        <v>10</v>
      </c>
      <c r="E1110" s="18">
        <v>4.24</v>
      </c>
      <c r="F1110" s="18">
        <v>5.09</v>
      </c>
      <c r="G1110" s="20" t="s">
        <v>4486</v>
      </c>
      <c r="H1110" s="19" t="str">
        <f>HYPERLINK("https://elefant.by/catalogue/687851812","Посмотреть на сайте ...")</f>
        <v>Посмотреть на сайте ...</v>
      </c>
    </row>
    <row r="1111" spans="1:8" s="16" customFormat="1" x14ac:dyDescent="0.25">
      <c r="A1111" s="17">
        <v>1101</v>
      </c>
      <c r="B1111" s="17" t="s">
        <v>158</v>
      </c>
      <c r="C1111" s="17" t="s">
        <v>1314</v>
      </c>
      <c r="D1111" s="18">
        <v>30</v>
      </c>
      <c r="E1111" s="18">
        <v>1</v>
      </c>
      <c r="F1111" s="18">
        <v>1.2</v>
      </c>
      <c r="G1111" s="20" t="s">
        <v>1315</v>
      </c>
      <c r="H1111" s="19" t="str">
        <f>HYPERLINK("https://elefant.by/catalogue/535562808","Посмотреть на сайте ...")</f>
        <v>Посмотреть на сайте ...</v>
      </c>
    </row>
    <row r="1112" spans="1:8" s="16" customFormat="1" x14ac:dyDescent="0.25">
      <c r="A1112" s="17">
        <v>1102</v>
      </c>
      <c r="B1112" s="17" t="s">
        <v>158</v>
      </c>
      <c r="C1112" s="17" t="s">
        <v>1316</v>
      </c>
      <c r="D1112" s="18">
        <v>30</v>
      </c>
      <c r="E1112" s="18">
        <v>2.15</v>
      </c>
      <c r="F1112" s="18">
        <v>2.58</v>
      </c>
      <c r="G1112" s="20" t="s">
        <v>1317</v>
      </c>
      <c r="H1112" s="19" t="str">
        <f>HYPERLINK("https://elefant.by/catalogue/564939334","Посмотреть на сайте ...")</f>
        <v>Посмотреть на сайте ...</v>
      </c>
    </row>
    <row r="1113" spans="1:8" s="16" customFormat="1" x14ac:dyDescent="0.25">
      <c r="A1113" s="17">
        <v>1103</v>
      </c>
      <c r="B1113" s="17" t="s">
        <v>158</v>
      </c>
      <c r="C1113" s="17" t="s">
        <v>1318</v>
      </c>
      <c r="D1113" s="18">
        <v>30</v>
      </c>
      <c r="E1113" s="18">
        <v>1.63</v>
      </c>
      <c r="F1113" s="18">
        <v>1.96</v>
      </c>
      <c r="G1113" s="20" t="s">
        <v>1319</v>
      </c>
      <c r="H1113" s="19" t="str">
        <f>HYPERLINK("https://elefant.by/catalogue/538599542","Посмотреть на сайте ...")</f>
        <v>Посмотреть на сайте ...</v>
      </c>
    </row>
    <row r="1114" spans="1:8" s="16" customFormat="1" x14ac:dyDescent="0.25">
      <c r="A1114" s="17">
        <v>1104</v>
      </c>
      <c r="B1114" s="17" t="s">
        <v>158</v>
      </c>
      <c r="C1114" s="17" t="s">
        <v>1320</v>
      </c>
      <c r="D1114" s="18">
        <v>20</v>
      </c>
      <c r="E1114" s="18">
        <v>2.61</v>
      </c>
      <c r="F1114" s="18">
        <v>3.13</v>
      </c>
      <c r="G1114" s="20" t="s">
        <v>1321</v>
      </c>
      <c r="H1114" s="19" t="str">
        <f>HYPERLINK("https://elefant.by/catalogue/564939335","Посмотреть на сайте ...")</f>
        <v>Посмотреть на сайте ...</v>
      </c>
    </row>
    <row r="1115" spans="1:8" s="16" customFormat="1" x14ac:dyDescent="0.25">
      <c r="A1115" s="17">
        <v>1105</v>
      </c>
      <c r="B1115" s="17" t="s">
        <v>158</v>
      </c>
      <c r="C1115" s="17" t="s">
        <v>1322</v>
      </c>
      <c r="D1115" s="18">
        <v>20</v>
      </c>
      <c r="E1115" s="18">
        <v>0.94</v>
      </c>
      <c r="F1115" s="18">
        <v>1.1299999999999999</v>
      </c>
      <c r="G1115" s="20" t="s">
        <v>1323</v>
      </c>
      <c r="H1115" s="19" t="str">
        <f>HYPERLINK("https://elefant.by/catalogue/526424595","Посмотреть на сайте ...")</f>
        <v>Посмотреть на сайте ...</v>
      </c>
    </row>
    <row r="1116" spans="1:8" s="16" customFormat="1" x14ac:dyDescent="0.25">
      <c r="A1116" s="17">
        <v>1106</v>
      </c>
      <c r="B1116" s="17" t="s">
        <v>2915</v>
      </c>
      <c r="C1116" s="17" t="s">
        <v>3381</v>
      </c>
      <c r="D1116" s="18">
        <v>12</v>
      </c>
      <c r="E1116" s="18">
        <v>0.71</v>
      </c>
      <c r="F1116" s="18">
        <v>0.85</v>
      </c>
      <c r="G1116" s="20" t="s">
        <v>4487</v>
      </c>
      <c r="H1116" s="19" t="str">
        <f>HYPERLINK("https://elefant.by/catalogue/671048815","Посмотреть на сайте ...")</f>
        <v>Посмотреть на сайте ...</v>
      </c>
    </row>
    <row r="1117" spans="1:8" s="16" customFormat="1" x14ac:dyDescent="0.25">
      <c r="A1117" s="17">
        <v>1107</v>
      </c>
      <c r="B1117" s="17" t="s">
        <v>2915</v>
      </c>
      <c r="C1117" s="17" t="s">
        <v>3382</v>
      </c>
      <c r="D1117" s="18">
        <v>12</v>
      </c>
      <c r="E1117" s="18">
        <v>0.71</v>
      </c>
      <c r="F1117" s="18">
        <v>0.85</v>
      </c>
      <c r="G1117" s="20" t="s">
        <v>4488</v>
      </c>
      <c r="H1117" s="19" t="str">
        <f>HYPERLINK("https://elefant.by/catalogue/665847212","Посмотреть на сайте ...")</f>
        <v>Посмотреть на сайте ...</v>
      </c>
    </row>
    <row r="1118" spans="1:8" s="16" customFormat="1" x14ac:dyDescent="0.25">
      <c r="A1118" s="17">
        <v>1108</v>
      </c>
      <c r="B1118" s="17" t="s">
        <v>2915</v>
      </c>
      <c r="C1118" s="17" t="s">
        <v>3383</v>
      </c>
      <c r="D1118" s="18">
        <v>12</v>
      </c>
      <c r="E1118" s="18">
        <v>1.07</v>
      </c>
      <c r="F1118" s="18">
        <v>1.28</v>
      </c>
      <c r="G1118" s="20" t="s">
        <v>4489</v>
      </c>
      <c r="H1118" s="19" t="str">
        <f>HYPERLINK("https://elefant.by/catalogue/671048812","Посмотреть на сайте ...")</f>
        <v>Посмотреть на сайте ...</v>
      </c>
    </row>
    <row r="1119" spans="1:8" s="16" customFormat="1" x14ac:dyDescent="0.25">
      <c r="A1119" s="17">
        <v>1109</v>
      </c>
      <c r="B1119" s="17" t="s">
        <v>2915</v>
      </c>
      <c r="C1119" s="17" t="s">
        <v>3384</v>
      </c>
      <c r="D1119" s="18">
        <v>12</v>
      </c>
      <c r="E1119" s="18">
        <v>1.48</v>
      </c>
      <c r="F1119" s="18">
        <v>1.78</v>
      </c>
      <c r="G1119" s="20" t="s">
        <v>4490</v>
      </c>
      <c r="H1119" s="19" t="str">
        <f>HYPERLINK("https://elefant.by/catalogue/671048811","Посмотреть на сайте ...")</f>
        <v>Посмотреть на сайте ...</v>
      </c>
    </row>
    <row r="1120" spans="1:8" s="16" customFormat="1" x14ac:dyDescent="0.25">
      <c r="A1120" s="17">
        <v>1110</v>
      </c>
      <c r="B1120" s="17" t="s">
        <v>2915</v>
      </c>
      <c r="C1120" s="17" t="s">
        <v>3385</v>
      </c>
      <c r="D1120" s="18">
        <v>12</v>
      </c>
      <c r="E1120" s="18">
        <v>1.75</v>
      </c>
      <c r="F1120" s="18">
        <v>2.1</v>
      </c>
      <c r="G1120" s="20" t="s">
        <v>4491</v>
      </c>
      <c r="H1120" s="19" t="str">
        <f>HYPERLINK("https://elefant.by/catalogue/665847208","Посмотреть на сайте ...")</f>
        <v>Посмотреть на сайте ...</v>
      </c>
    </row>
    <row r="1121" spans="1:8" s="16" customFormat="1" x14ac:dyDescent="0.25">
      <c r="A1121" s="17">
        <v>1111</v>
      </c>
      <c r="B1121" s="17" t="s">
        <v>2915</v>
      </c>
      <c r="C1121" s="17" t="s">
        <v>3386</v>
      </c>
      <c r="D1121" s="18">
        <v>12</v>
      </c>
      <c r="E1121" s="18">
        <v>1.07</v>
      </c>
      <c r="F1121" s="18">
        <v>1.28</v>
      </c>
      <c r="G1121" s="20" t="s">
        <v>4492</v>
      </c>
      <c r="H1121" s="19" t="str">
        <f>HYPERLINK("https://elefant.by/catalogue/671048814","Посмотреть на сайте ...")</f>
        <v>Посмотреть на сайте ...</v>
      </c>
    </row>
    <row r="1122" spans="1:8" s="16" customFormat="1" x14ac:dyDescent="0.25">
      <c r="A1122" s="17">
        <v>1112</v>
      </c>
      <c r="B1122" s="17" t="s">
        <v>12</v>
      </c>
      <c r="C1122" s="17" t="s">
        <v>3387</v>
      </c>
      <c r="D1122" s="18">
        <v>12</v>
      </c>
      <c r="E1122" s="18">
        <v>1.66</v>
      </c>
      <c r="F1122" s="18">
        <v>1.99</v>
      </c>
      <c r="G1122" s="20" t="s">
        <v>4493</v>
      </c>
      <c r="H1122" s="19" t="str">
        <f>HYPERLINK("https://elefant.by/catalogue/698728917","Посмотреть на сайте ...")</f>
        <v>Посмотреть на сайте ...</v>
      </c>
    </row>
    <row r="1123" spans="1:8" s="16" customFormat="1" x14ac:dyDescent="0.25">
      <c r="A1123" s="17">
        <v>1113</v>
      </c>
      <c r="B1123" s="17" t="s">
        <v>12</v>
      </c>
      <c r="C1123" s="17" t="s">
        <v>3388</v>
      </c>
      <c r="D1123" s="18">
        <v>12</v>
      </c>
      <c r="E1123" s="18">
        <v>1.77</v>
      </c>
      <c r="F1123" s="18">
        <v>2.12</v>
      </c>
      <c r="G1123" s="20" t="s">
        <v>4494</v>
      </c>
      <c r="H1123" s="19" t="str">
        <f>HYPERLINK("https://elefant.by/catalogue/672236374","Посмотреть на сайте ...")</f>
        <v>Посмотреть на сайте ...</v>
      </c>
    </row>
    <row r="1124" spans="1:8" s="16" customFormat="1" x14ac:dyDescent="0.25">
      <c r="A1124" s="17">
        <v>1114</v>
      </c>
      <c r="B1124" s="17" t="s">
        <v>2915</v>
      </c>
      <c r="C1124" s="17" t="s">
        <v>3389</v>
      </c>
      <c r="D1124" s="18">
        <v>12</v>
      </c>
      <c r="E1124" s="18">
        <v>1.71</v>
      </c>
      <c r="F1124" s="18">
        <v>2.0499999999999998</v>
      </c>
      <c r="G1124" s="20" t="s">
        <v>4495</v>
      </c>
      <c r="H1124" s="19" t="str">
        <f>HYPERLINK("https://elefant.by/catalogue/665847210","Посмотреть на сайте ...")</f>
        <v>Посмотреть на сайте ...</v>
      </c>
    </row>
    <row r="1125" spans="1:8" s="16" customFormat="1" x14ac:dyDescent="0.25">
      <c r="A1125" s="17">
        <v>1115</v>
      </c>
      <c r="B1125" s="17" t="s">
        <v>2915</v>
      </c>
      <c r="C1125" s="17" t="s">
        <v>3390</v>
      </c>
      <c r="D1125" s="18">
        <v>12</v>
      </c>
      <c r="E1125" s="18">
        <v>1.77</v>
      </c>
      <c r="F1125" s="18">
        <v>2.12</v>
      </c>
      <c r="G1125" s="20" t="s">
        <v>4496</v>
      </c>
      <c r="H1125" s="19" t="str">
        <f>HYPERLINK("https://elefant.by/catalogue/665847211","Посмотреть на сайте ...")</f>
        <v>Посмотреть на сайте ...</v>
      </c>
    </row>
    <row r="1126" spans="1:8" s="16" customFormat="1" x14ac:dyDescent="0.25">
      <c r="A1126" s="17">
        <v>1116</v>
      </c>
      <c r="B1126" s="17" t="s">
        <v>12</v>
      </c>
      <c r="C1126" s="17" t="s">
        <v>3391</v>
      </c>
      <c r="D1126" s="18">
        <v>6</v>
      </c>
      <c r="E1126" s="18">
        <v>5.0599999999999996</v>
      </c>
      <c r="F1126" s="18">
        <v>6.07</v>
      </c>
      <c r="G1126" s="20" t="s">
        <v>4497</v>
      </c>
      <c r="H1126" s="19" t="str">
        <f>HYPERLINK("https://elefant.by/catalogue/661172534","Посмотреть на сайте ...")</f>
        <v>Посмотреть на сайте ...</v>
      </c>
    </row>
    <row r="1127" spans="1:8" s="16" customFormat="1" x14ac:dyDescent="0.25">
      <c r="A1127" s="17">
        <v>1117</v>
      </c>
      <c r="B1127" s="17" t="s">
        <v>1324</v>
      </c>
      <c r="C1127" s="17" t="s">
        <v>1325</v>
      </c>
      <c r="D1127" s="18">
        <v>20</v>
      </c>
      <c r="E1127" s="18">
        <v>7.8</v>
      </c>
      <c r="F1127" s="18">
        <v>9.36</v>
      </c>
      <c r="G1127" s="20" t="s">
        <v>1326</v>
      </c>
      <c r="H1127" s="19" t="str">
        <f>HYPERLINK("https://elefant.by/catalogue/166215827","Посмотреть на сайте ...")</f>
        <v>Посмотреть на сайте ...</v>
      </c>
    </row>
    <row r="1128" spans="1:8" s="16" customFormat="1" x14ac:dyDescent="0.25">
      <c r="A1128" s="17">
        <v>1118</v>
      </c>
      <c r="B1128" s="17" t="s">
        <v>1324</v>
      </c>
      <c r="C1128" s="17" t="s">
        <v>1327</v>
      </c>
      <c r="D1128" s="18">
        <v>20</v>
      </c>
      <c r="E1128" s="18">
        <v>7.8</v>
      </c>
      <c r="F1128" s="18">
        <v>9.36</v>
      </c>
      <c r="G1128" s="20" t="s">
        <v>1328</v>
      </c>
      <c r="H1128" s="19" t="str">
        <f>HYPERLINK("https://elefant.by/catalogue/166215828","Посмотреть на сайте ...")</f>
        <v>Посмотреть на сайте ...</v>
      </c>
    </row>
    <row r="1129" spans="1:8" s="16" customFormat="1" x14ac:dyDescent="0.25">
      <c r="A1129" s="17">
        <v>1119</v>
      </c>
      <c r="B1129" s="17" t="s">
        <v>63</v>
      </c>
      <c r="C1129" s="17" t="s">
        <v>1329</v>
      </c>
      <c r="D1129" s="18">
        <v>6</v>
      </c>
      <c r="E1129" s="18">
        <v>0.94</v>
      </c>
      <c r="F1129" s="18">
        <v>1.1299999999999999</v>
      </c>
      <c r="G1129" s="20" t="s">
        <v>1330</v>
      </c>
      <c r="H1129" s="19" t="str">
        <f>HYPERLINK("https://elefant.by/catalogue/576160835","Посмотреть на сайте ...")</f>
        <v>Посмотреть на сайте ...</v>
      </c>
    </row>
    <row r="1130" spans="1:8" s="16" customFormat="1" x14ac:dyDescent="0.25">
      <c r="A1130" s="17">
        <v>1120</v>
      </c>
      <c r="B1130" s="17" t="s">
        <v>1324</v>
      </c>
      <c r="C1130" s="17" t="s">
        <v>1331</v>
      </c>
      <c r="D1130" s="18">
        <v>60</v>
      </c>
      <c r="E1130" s="18">
        <v>1.93</v>
      </c>
      <c r="F1130" s="18">
        <v>2.3199999999999998</v>
      </c>
      <c r="G1130" s="20" t="s">
        <v>1332</v>
      </c>
      <c r="H1130" s="19" t="str">
        <f>HYPERLINK("https://elefant.by/catalogue/158621786","Посмотреть на сайте ...")</f>
        <v>Посмотреть на сайте ...</v>
      </c>
    </row>
    <row r="1131" spans="1:8" s="16" customFormat="1" x14ac:dyDescent="0.25">
      <c r="A1131" s="17">
        <v>1121</v>
      </c>
      <c r="B1131" s="17" t="s">
        <v>1324</v>
      </c>
      <c r="C1131" s="17" t="s">
        <v>1333</v>
      </c>
      <c r="D1131" s="18">
        <v>60</v>
      </c>
      <c r="E1131" s="18">
        <v>1.93</v>
      </c>
      <c r="F1131" s="18">
        <v>2.3199999999999998</v>
      </c>
      <c r="G1131" s="20" t="s">
        <v>1334</v>
      </c>
      <c r="H1131" s="19" t="str">
        <f>HYPERLINK("https://elefant.by/catalogue/158215745","Посмотреть на сайте ...")</f>
        <v>Посмотреть на сайте ...</v>
      </c>
    </row>
    <row r="1132" spans="1:8" s="16" customFormat="1" x14ac:dyDescent="0.25">
      <c r="A1132" s="17">
        <v>1122</v>
      </c>
      <c r="B1132" s="17" t="s">
        <v>1324</v>
      </c>
      <c r="C1132" s="17" t="s">
        <v>3392</v>
      </c>
      <c r="D1132" s="18">
        <v>60</v>
      </c>
      <c r="E1132" s="18">
        <v>1.93</v>
      </c>
      <c r="F1132" s="18">
        <v>2.3199999999999998</v>
      </c>
      <c r="G1132" s="20" t="s">
        <v>4498</v>
      </c>
      <c r="H1132" s="19" t="str">
        <f>HYPERLINK("https://elefant.by/catalogue/151903201","Посмотреть на сайте ...")</f>
        <v>Посмотреть на сайте ...</v>
      </c>
    </row>
    <row r="1133" spans="1:8" s="16" customFormat="1" x14ac:dyDescent="0.25">
      <c r="A1133" s="17">
        <v>1123</v>
      </c>
      <c r="B1133" s="17" t="s">
        <v>1324</v>
      </c>
      <c r="C1133" s="17" t="s">
        <v>1335</v>
      </c>
      <c r="D1133" s="18">
        <v>60</v>
      </c>
      <c r="E1133" s="18">
        <v>1.93</v>
      </c>
      <c r="F1133" s="18">
        <v>2.3199999999999998</v>
      </c>
      <c r="G1133" s="20" t="s">
        <v>1336</v>
      </c>
      <c r="H1133" s="19" t="str">
        <f>HYPERLINK("https://elefant.by/catalogue/151941021","Посмотреть на сайте ...")</f>
        <v>Посмотреть на сайте ...</v>
      </c>
    </row>
    <row r="1134" spans="1:8" s="16" customFormat="1" x14ac:dyDescent="0.25">
      <c r="A1134" s="17">
        <v>1124</v>
      </c>
      <c r="B1134" s="17" t="s">
        <v>63</v>
      </c>
      <c r="C1134" s="17" t="s">
        <v>3393</v>
      </c>
      <c r="D1134" s="18">
        <v>5</v>
      </c>
      <c r="E1134" s="18">
        <v>1.33</v>
      </c>
      <c r="F1134" s="18">
        <v>1.6</v>
      </c>
      <c r="G1134" s="20" t="s">
        <v>4499</v>
      </c>
      <c r="H1134" s="19" t="str">
        <f>HYPERLINK("https://elefant.by/catalogue/576479091","Посмотреть на сайте ...")</f>
        <v>Посмотреть на сайте ...</v>
      </c>
    </row>
    <row r="1135" spans="1:8" s="16" customFormat="1" x14ac:dyDescent="0.25">
      <c r="A1135" s="17">
        <v>1125</v>
      </c>
      <c r="B1135" s="17" t="s">
        <v>63</v>
      </c>
      <c r="C1135" s="17" t="s">
        <v>3394</v>
      </c>
      <c r="D1135" s="18">
        <v>5</v>
      </c>
      <c r="E1135" s="18">
        <v>1.33</v>
      </c>
      <c r="F1135" s="18">
        <v>1.6</v>
      </c>
      <c r="G1135" s="20" t="s">
        <v>4500</v>
      </c>
      <c r="H1135" s="19" t="str">
        <f>HYPERLINK("https://elefant.by/catalogue/572218320","Посмотреть на сайте ...")</f>
        <v>Посмотреть на сайте ...</v>
      </c>
    </row>
    <row r="1136" spans="1:8" s="16" customFormat="1" x14ac:dyDescent="0.25">
      <c r="A1136" s="17">
        <v>1126</v>
      </c>
      <c r="B1136" s="17" t="s">
        <v>63</v>
      </c>
      <c r="C1136" s="17" t="s">
        <v>1337</v>
      </c>
      <c r="D1136" s="18">
        <v>5</v>
      </c>
      <c r="E1136" s="18">
        <v>1.33</v>
      </c>
      <c r="F1136" s="18">
        <v>1.6</v>
      </c>
      <c r="G1136" s="20" t="s">
        <v>1338</v>
      </c>
      <c r="H1136" s="19" t="str">
        <f>HYPERLINK("https://elefant.by/catalogue/582512313","Посмотреть на сайте ...")</f>
        <v>Посмотреть на сайте ...</v>
      </c>
    </row>
    <row r="1137" spans="1:8" s="16" customFormat="1" x14ac:dyDescent="0.25">
      <c r="A1137" s="17">
        <v>1127</v>
      </c>
      <c r="B1137" s="17" t="s">
        <v>63</v>
      </c>
      <c r="C1137" s="17" t="s">
        <v>1339</v>
      </c>
      <c r="D1137" s="18">
        <v>5</v>
      </c>
      <c r="E1137" s="18">
        <v>1.33</v>
      </c>
      <c r="F1137" s="18">
        <v>1.6</v>
      </c>
      <c r="G1137" s="20" t="s">
        <v>1340</v>
      </c>
      <c r="H1137" s="19" t="str">
        <f>HYPERLINK("https://elefant.by/catalogue/567489431","Посмотреть на сайте ...")</f>
        <v>Посмотреть на сайте ...</v>
      </c>
    </row>
    <row r="1138" spans="1:8" s="16" customFormat="1" x14ac:dyDescent="0.25">
      <c r="A1138" s="17">
        <v>1128</v>
      </c>
      <c r="B1138" s="17" t="s">
        <v>12</v>
      </c>
      <c r="C1138" s="17" t="s">
        <v>3395</v>
      </c>
      <c r="D1138" s="18">
        <v>12</v>
      </c>
      <c r="E1138" s="18">
        <v>3.26</v>
      </c>
      <c r="F1138" s="18">
        <v>3.91</v>
      </c>
      <c r="G1138" s="20" t="s">
        <v>4501</v>
      </c>
      <c r="H1138" s="19" t="str">
        <f>HYPERLINK("https://elefant.by/catalogue/688553466","Посмотреть на сайте ...")</f>
        <v>Посмотреть на сайте ...</v>
      </c>
    </row>
    <row r="1139" spans="1:8" s="16" customFormat="1" x14ac:dyDescent="0.25">
      <c r="A1139" s="17">
        <v>1129</v>
      </c>
      <c r="B1139" s="17" t="s">
        <v>12</v>
      </c>
      <c r="C1139" s="17" t="s">
        <v>3396</v>
      </c>
      <c r="D1139" s="18">
        <v>12</v>
      </c>
      <c r="E1139" s="18">
        <v>3.26</v>
      </c>
      <c r="F1139" s="18">
        <v>3.91</v>
      </c>
      <c r="G1139" s="20" t="s">
        <v>4502</v>
      </c>
      <c r="H1139" s="19" t="str">
        <f>HYPERLINK("https://elefant.by/catalogue/688553467","Посмотреть на сайте ...")</f>
        <v>Посмотреть на сайте ...</v>
      </c>
    </row>
    <row r="1140" spans="1:8" s="16" customFormat="1" x14ac:dyDescent="0.25">
      <c r="A1140" s="17">
        <v>1130</v>
      </c>
      <c r="B1140" s="17" t="s">
        <v>12</v>
      </c>
      <c r="C1140" s="17" t="s">
        <v>3397</v>
      </c>
      <c r="D1140" s="18">
        <v>12</v>
      </c>
      <c r="E1140" s="18">
        <v>3.32</v>
      </c>
      <c r="F1140" s="18">
        <v>3.98</v>
      </c>
      <c r="G1140" s="20" t="s">
        <v>4503</v>
      </c>
      <c r="H1140" s="19" t="str">
        <f>HYPERLINK("https://elefant.by/catalogue/666110366","Посмотреть на сайте ...")</f>
        <v>Посмотреть на сайте ...</v>
      </c>
    </row>
    <row r="1141" spans="1:8" s="16" customFormat="1" x14ac:dyDescent="0.25">
      <c r="A1141" s="17">
        <v>1131</v>
      </c>
      <c r="B1141" s="17" t="s">
        <v>12</v>
      </c>
      <c r="C1141" s="17" t="s">
        <v>3398</v>
      </c>
      <c r="D1141" s="18">
        <v>12</v>
      </c>
      <c r="E1141" s="18">
        <v>3.32</v>
      </c>
      <c r="F1141" s="18">
        <v>3.98</v>
      </c>
      <c r="G1141" s="20" t="s">
        <v>4504</v>
      </c>
      <c r="H1141" s="19" t="str">
        <f>HYPERLINK("https://elefant.by/catalogue/666110365","Посмотреть на сайте ...")</f>
        <v>Посмотреть на сайте ...</v>
      </c>
    </row>
    <row r="1142" spans="1:8" s="16" customFormat="1" x14ac:dyDescent="0.25">
      <c r="A1142" s="17">
        <v>1132</v>
      </c>
      <c r="B1142" s="17" t="s">
        <v>12</v>
      </c>
      <c r="C1142" s="17" t="s">
        <v>3399</v>
      </c>
      <c r="D1142" s="18">
        <v>12</v>
      </c>
      <c r="E1142" s="18">
        <v>3.32</v>
      </c>
      <c r="F1142" s="18">
        <v>3.98</v>
      </c>
      <c r="G1142" s="20" t="s">
        <v>4505</v>
      </c>
      <c r="H1142" s="19" t="str">
        <f>HYPERLINK("https://elefant.by/catalogue/666110367","Посмотреть на сайте ...")</f>
        <v>Посмотреть на сайте ...</v>
      </c>
    </row>
    <row r="1143" spans="1:8" s="16" customFormat="1" x14ac:dyDescent="0.25">
      <c r="A1143" s="17">
        <v>1133</v>
      </c>
      <c r="B1143" s="17" t="s">
        <v>12</v>
      </c>
      <c r="C1143" s="17" t="s">
        <v>3400</v>
      </c>
      <c r="D1143" s="18">
        <v>12</v>
      </c>
      <c r="E1143" s="18">
        <v>3.32</v>
      </c>
      <c r="F1143" s="18">
        <v>3.98</v>
      </c>
      <c r="G1143" s="20" t="s">
        <v>4506</v>
      </c>
      <c r="H1143" s="19" t="str">
        <f>HYPERLINK("https://elefant.by/catalogue/666110368","Посмотреть на сайте ...")</f>
        <v>Посмотреть на сайте ...</v>
      </c>
    </row>
    <row r="1144" spans="1:8" s="16" customFormat="1" x14ac:dyDescent="0.25">
      <c r="A1144" s="17">
        <v>1134</v>
      </c>
      <c r="B1144" s="17" t="s">
        <v>1324</v>
      </c>
      <c r="C1144" s="17" t="s">
        <v>1341</v>
      </c>
      <c r="D1144" s="18">
        <v>30</v>
      </c>
      <c r="E1144" s="18">
        <v>2.5299999999999998</v>
      </c>
      <c r="F1144" s="18">
        <v>3.04</v>
      </c>
      <c r="G1144" s="20" t="s">
        <v>1342</v>
      </c>
      <c r="H1144" s="19" t="str">
        <f>HYPERLINK("https://elefant.by/catalogue/153047920","Посмотреть на сайте ...")</f>
        <v>Посмотреть на сайте ...</v>
      </c>
    </row>
    <row r="1145" spans="1:8" s="16" customFormat="1" x14ac:dyDescent="0.25">
      <c r="A1145" s="17">
        <v>1135</v>
      </c>
      <c r="B1145" s="17" t="s">
        <v>1324</v>
      </c>
      <c r="C1145" s="17" t="s">
        <v>1343</v>
      </c>
      <c r="D1145" s="18">
        <v>30</v>
      </c>
      <c r="E1145" s="18">
        <v>2.5299999999999998</v>
      </c>
      <c r="F1145" s="18">
        <v>3.04</v>
      </c>
      <c r="G1145" s="20" t="s">
        <v>1344</v>
      </c>
      <c r="H1145" s="19" t="str">
        <f>HYPERLINK("https://elefant.by/catalogue/153047921","Посмотреть на сайте ...")</f>
        <v>Посмотреть на сайте ...</v>
      </c>
    </row>
    <row r="1146" spans="1:8" s="16" customFormat="1" x14ac:dyDescent="0.25">
      <c r="A1146" s="17">
        <v>1136</v>
      </c>
      <c r="B1146" s="17" t="s">
        <v>1324</v>
      </c>
      <c r="C1146" s="17" t="s">
        <v>1345</v>
      </c>
      <c r="D1146" s="18">
        <v>30</v>
      </c>
      <c r="E1146" s="18">
        <v>2.5299999999999998</v>
      </c>
      <c r="F1146" s="18">
        <v>3.04</v>
      </c>
      <c r="G1146" s="20" t="s">
        <v>1346</v>
      </c>
      <c r="H1146" s="19" t="str">
        <f>HYPERLINK("https://elefant.by/catalogue/150838673","Посмотреть на сайте ...")</f>
        <v>Посмотреть на сайте ...</v>
      </c>
    </row>
    <row r="1147" spans="1:8" s="16" customFormat="1" x14ac:dyDescent="0.25">
      <c r="A1147" s="17">
        <v>1137</v>
      </c>
      <c r="B1147" s="17" t="s">
        <v>1324</v>
      </c>
      <c r="C1147" s="17" t="s">
        <v>1347</v>
      </c>
      <c r="D1147" s="18">
        <v>30</v>
      </c>
      <c r="E1147" s="18">
        <v>2.5299999999999998</v>
      </c>
      <c r="F1147" s="18">
        <v>3.04</v>
      </c>
      <c r="G1147" s="20" t="s">
        <v>1348</v>
      </c>
      <c r="H1147" s="19" t="str">
        <f>HYPERLINK("https://elefant.by/catalogue/150838681","Посмотреть на сайте ...")</f>
        <v>Посмотреть на сайте ...</v>
      </c>
    </row>
    <row r="1148" spans="1:8" s="16" customFormat="1" x14ac:dyDescent="0.25">
      <c r="A1148" s="17">
        <v>1138</v>
      </c>
      <c r="B1148" s="17" t="s">
        <v>63</v>
      </c>
      <c r="C1148" s="17" t="s">
        <v>1349</v>
      </c>
      <c r="D1148" s="18">
        <v>4</v>
      </c>
      <c r="E1148" s="18">
        <v>1.72</v>
      </c>
      <c r="F1148" s="18">
        <v>2.06</v>
      </c>
      <c r="G1148" s="20" t="s">
        <v>1350</v>
      </c>
      <c r="H1148" s="19" t="str">
        <f>HYPERLINK("https://elefant.by/catalogue/572218321","Посмотреть на сайте ...")</f>
        <v>Посмотреть на сайте ...</v>
      </c>
    </row>
    <row r="1149" spans="1:8" s="16" customFormat="1" x14ac:dyDescent="0.25">
      <c r="A1149" s="17">
        <v>1139</v>
      </c>
      <c r="B1149" s="17" t="s">
        <v>63</v>
      </c>
      <c r="C1149" s="17" t="s">
        <v>1351</v>
      </c>
      <c r="D1149" s="18">
        <v>4</v>
      </c>
      <c r="E1149" s="18">
        <v>1.72</v>
      </c>
      <c r="F1149" s="18">
        <v>2.06</v>
      </c>
      <c r="G1149" s="20" t="s">
        <v>1352</v>
      </c>
      <c r="H1149" s="19" t="str">
        <f>HYPERLINK("https://elefant.by/catalogue/572218322","Посмотреть на сайте ...")</f>
        <v>Посмотреть на сайте ...</v>
      </c>
    </row>
    <row r="1150" spans="1:8" s="16" customFormat="1" x14ac:dyDescent="0.25">
      <c r="A1150" s="17">
        <v>1140</v>
      </c>
      <c r="B1150" s="17" t="s">
        <v>63</v>
      </c>
      <c r="C1150" s="17" t="s">
        <v>1353</v>
      </c>
      <c r="D1150" s="18">
        <v>4</v>
      </c>
      <c r="E1150" s="18">
        <v>1.72</v>
      </c>
      <c r="F1150" s="18">
        <v>2.06</v>
      </c>
      <c r="G1150" s="20" t="s">
        <v>1354</v>
      </c>
      <c r="H1150" s="19" t="str">
        <f>HYPERLINK("https://elefant.by/catalogue/572218328","Посмотреть на сайте ...")</f>
        <v>Посмотреть на сайте ...</v>
      </c>
    </row>
    <row r="1151" spans="1:8" s="16" customFormat="1" x14ac:dyDescent="0.25">
      <c r="A1151" s="17">
        <v>1141</v>
      </c>
      <c r="B1151" s="17" t="s">
        <v>1324</v>
      </c>
      <c r="C1151" s="17" t="s">
        <v>1355</v>
      </c>
      <c r="D1151" s="18">
        <v>25</v>
      </c>
      <c r="E1151" s="18">
        <v>2.99</v>
      </c>
      <c r="F1151" s="18">
        <v>3.59</v>
      </c>
      <c r="G1151" s="20" t="s">
        <v>1356</v>
      </c>
      <c r="H1151" s="19" t="str">
        <f>HYPERLINK("https://elefant.by/catalogue/156844282","Посмотреть на сайте ...")</f>
        <v>Посмотреть на сайте ...</v>
      </c>
    </row>
    <row r="1152" spans="1:8" s="16" customFormat="1" x14ac:dyDescent="0.25">
      <c r="A1152" s="17">
        <v>1142</v>
      </c>
      <c r="B1152" s="17" t="s">
        <v>1324</v>
      </c>
      <c r="C1152" s="17" t="s">
        <v>1357</v>
      </c>
      <c r="D1152" s="18">
        <v>25</v>
      </c>
      <c r="E1152" s="18">
        <v>2.99</v>
      </c>
      <c r="F1152" s="18">
        <v>3.59</v>
      </c>
      <c r="G1152" s="20" t="s">
        <v>1358</v>
      </c>
      <c r="H1152" s="19" t="str">
        <f>HYPERLINK("https://elefant.by/catalogue/158215953","Посмотреть на сайте ...")</f>
        <v>Посмотреть на сайте ...</v>
      </c>
    </row>
    <row r="1153" spans="1:8" s="16" customFormat="1" x14ac:dyDescent="0.25">
      <c r="A1153" s="17">
        <v>1143</v>
      </c>
      <c r="B1153" s="17" t="s">
        <v>1324</v>
      </c>
      <c r="C1153" s="17" t="s">
        <v>1359</v>
      </c>
      <c r="D1153" s="18">
        <v>25</v>
      </c>
      <c r="E1153" s="18">
        <v>2.99</v>
      </c>
      <c r="F1153" s="18">
        <v>3.59</v>
      </c>
      <c r="G1153" s="20" t="s">
        <v>4507</v>
      </c>
      <c r="H1153" s="19" t="str">
        <f>HYPERLINK("https://elefant.by/catalogue/151295800","Посмотреть на сайте ...")</f>
        <v>Посмотреть на сайте ...</v>
      </c>
    </row>
    <row r="1154" spans="1:8" s="16" customFormat="1" x14ac:dyDescent="0.25">
      <c r="A1154" s="17">
        <v>1144</v>
      </c>
      <c r="B1154" s="17" t="s">
        <v>1324</v>
      </c>
      <c r="C1154" s="17" t="s">
        <v>1360</v>
      </c>
      <c r="D1154" s="18">
        <v>25</v>
      </c>
      <c r="E1154" s="18">
        <v>2.99</v>
      </c>
      <c r="F1154" s="18">
        <v>3.59</v>
      </c>
      <c r="G1154" s="20" t="s">
        <v>4508</v>
      </c>
      <c r="H1154" s="19" t="str">
        <f>HYPERLINK("https://elefant.by/catalogue/151903263","Посмотреть на сайте ...")</f>
        <v>Посмотреть на сайте ...</v>
      </c>
    </row>
    <row r="1155" spans="1:8" s="16" customFormat="1" x14ac:dyDescent="0.25">
      <c r="A1155" s="17">
        <v>1145</v>
      </c>
      <c r="B1155" s="17" t="s">
        <v>63</v>
      </c>
      <c r="C1155" s="17" t="s">
        <v>3401</v>
      </c>
      <c r="D1155" s="18">
        <v>3</v>
      </c>
      <c r="E1155" s="18">
        <v>2.23</v>
      </c>
      <c r="F1155" s="18">
        <v>2.68</v>
      </c>
      <c r="G1155" s="20" t="s">
        <v>4509</v>
      </c>
      <c r="H1155" s="19" t="str">
        <f>HYPERLINK("https://elefant.by/catalogue/567489432","Посмотреть на сайте ...")</f>
        <v>Посмотреть на сайте ...</v>
      </c>
    </row>
    <row r="1156" spans="1:8" s="16" customFormat="1" x14ac:dyDescent="0.25">
      <c r="A1156" s="17">
        <v>1146</v>
      </c>
      <c r="B1156" s="17" t="s">
        <v>63</v>
      </c>
      <c r="C1156" s="17" t="s">
        <v>3402</v>
      </c>
      <c r="D1156" s="18">
        <v>3</v>
      </c>
      <c r="E1156" s="18">
        <v>2.23</v>
      </c>
      <c r="F1156" s="18">
        <v>2.68</v>
      </c>
      <c r="G1156" s="20" t="s">
        <v>4510</v>
      </c>
      <c r="H1156" s="19" t="str">
        <f>HYPERLINK("https://elefant.by/catalogue/694248664","Посмотреть на сайте ...")</f>
        <v>Посмотреть на сайте ...</v>
      </c>
    </row>
    <row r="1157" spans="1:8" s="16" customFormat="1" x14ac:dyDescent="0.25">
      <c r="A1157" s="17">
        <v>1147</v>
      </c>
      <c r="B1157" s="17" t="s">
        <v>63</v>
      </c>
      <c r="C1157" s="17" t="s">
        <v>1361</v>
      </c>
      <c r="D1157" s="18">
        <v>3</v>
      </c>
      <c r="E1157" s="18">
        <v>2.2000000000000002</v>
      </c>
      <c r="F1157" s="18">
        <v>2.64</v>
      </c>
      <c r="G1157" s="20" t="s">
        <v>1362</v>
      </c>
      <c r="H1157" s="19" t="str">
        <f>HYPERLINK("https://elefant.by/catalogue/584724297","Посмотреть на сайте ...")</f>
        <v>Посмотреть на сайте ...</v>
      </c>
    </row>
    <row r="1158" spans="1:8" s="16" customFormat="1" x14ac:dyDescent="0.25">
      <c r="A1158" s="17">
        <v>1148</v>
      </c>
      <c r="B1158" s="17" t="s">
        <v>63</v>
      </c>
      <c r="C1158" s="17" t="s">
        <v>1363</v>
      </c>
      <c r="D1158" s="18">
        <v>3</v>
      </c>
      <c r="E1158" s="18">
        <v>2.23</v>
      </c>
      <c r="F1158" s="18">
        <v>2.68</v>
      </c>
      <c r="G1158" s="20" t="s">
        <v>1364</v>
      </c>
      <c r="H1158" s="19" t="str">
        <f>HYPERLINK("https://elefant.by/catalogue/567489433","Посмотреть на сайте ...")</f>
        <v>Посмотреть на сайте ...</v>
      </c>
    </row>
    <row r="1159" spans="1:8" s="16" customFormat="1" x14ac:dyDescent="0.25">
      <c r="A1159" s="17">
        <v>1149</v>
      </c>
      <c r="B1159" s="17" t="s">
        <v>1324</v>
      </c>
      <c r="C1159" s="17" t="s">
        <v>1365</v>
      </c>
      <c r="D1159" s="18">
        <v>30</v>
      </c>
      <c r="E1159" s="18">
        <v>3.28</v>
      </c>
      <c r="F1159" s="18">
        <v>3.94</v>
      </c>
      <c r="G1159" s="20" t="s">
        <v>1366</v>
      </c>
      <c r="H1159" s="19" t="str">
        <f>HYPERLINK("https://elefant.by/catalogue/153048024","Посмотреть на сайте ...")</f>
        <v>Посмотреть на сайте ...</v>
      </c>
    </row>
    <row r="1160" spans="1:8" s="16" customFormat="1" x14ac:dyDescent="0.25">
      <c r="A1160" s="17">
        <v>1150</v>
      </c>
      <c r="B1160" s="17" t="s">
        <v>1324</v>
      </c>
      <c r="C1160" s="17" t="s">
        <v>1367</v>
      </c>
      <c r="D1160" s="18">
        <v>30</v>
      </c>
      <c r="E1160" s="18">
        <v>3.28</v>
      </c>
      <c r="F1160" s="18">
        <v>3.94</v>
      </c>
      <c r="G1160" s="20" t="s">
        <v>1368</v>
      </c>
      <c r="H1160" s="19" t="str">
        <f>HYPERLINK("https://elefant.by/catalogue/153048025","Посмотреть на сайте ...")</f>
        <v>Посмотреть на сайте ...</v>
      </c>
    </row>
    <row r="1161" spans="1:8" s="16" customFormat="1" x14ac:dyDescent="0.25">
      <c r="A1161" s="17">
        <v>1151</v>
      </c>
      <c r="B1161" s="17" t="s">
        <v>1324</v>
      </c>
      <c r="C1161" s="17" t="s">
        <v>1369</v>
      </c>
      <c r="D1161" s="18">
        <v>30</v>
      </c>
      <c r="E1161" s="18">
        <v>3.28</v>
      </c>
      <c r="F1161" s="18">
        <v>3.94</v>
      </c>
      <c r="G1161" s="20" t="s">
        <v>4511</v>
      </c>
      <c r="H1161" s="19" t="str">
        <f>HYPERLINK("https://elefant.by/catalogue/151903283","Посмотреть на сайте ...")</f>
        <v>Посмотреть на сайте ...</v>
      </c>
    </row>
    <row r="1162" spans="1:8" s="16" customFormat="1" x14ac:dyDescent="0.25">
      <c r="A1162" s="17">
        <v>1152</v>
      </c>
      <c r="B1162" s="17" t="s">
        <v>1324</v>
      </c>
      <c r="C1162" s="17" t="s">
        <v>1370</v>
      </c>
      <c r="D1162" s="18">
        <v>30</v>
      </c>
      <c r="E1162" s="18">
        <v>3.28</v>
      </c>
      <c r="F1162" s="18">
        <v>3.94</v>
      </c>
      <c r="G1162" s="20" t="s">
        <v>1371</v>
      </c>
      <c r="H1162" s="19" t="str">
        <f>HYPERLINK("https://elefant.by/catalogue/151903287","Посмотреть на сайте ...")</f>
        <v>Посмотреть на сайте ...</v>
      </c>
    </row>
    <row r="1163" spans="1:8" s="16" customFormat="1" x14ac:dyDescent="0.25">
      <c r="A1163" s="17">
        <v>1153</v>
      </c>
      <c r="B1163" s="17" t="s">
        <v>1324</v>
      </c>
      <c r="C1163" s="17" t="s">
        <v>1372</v>
      </c>
      <c r="D1163" s="18">
        <v>20</v>
      </c>
      <c r="E1163" s="18">
        <v>4.55</v>
      </c>
      <c r="F1163" s="18">
        <v>5.46</v>
      </c>
      <c r="G1163" s="20" t="s">
        <v>4512</v>
      </c>
      <c r="H1163" s="19" t="str">
        <f>HYPERLINK("https://elefant.by/catalogue/153519554","Посмотреть на сайте ...")</f>
        <v>Посмотреть на сайте ...</v>
      </c>
    </row>
    <row r="1164" spans="1:8" s="16" customFormat="1" x14ac:dyDescent="0.25">
      <c r="A1164" s="17">
        <v>1154</v>
      </c>
      <c r="B1164" s="17" t="s">
        <v>1324</v>
      </c>
      <c r="C1164" s="17" t="s">
        <v>1373</v>
      </c>
      <c r="D1164" s="18">
        <v>20</v>
      </c>
      <c r="E1164" s="18">
        <v>4.55</v>
      </c>
      <c r="F1164" s="18">
        <v>5.46</v>
      </c>
      <c r="G1164" s="20" t="s">
        <v>1374</v>
      </c>
      <c r="H1164" s="19" t="str">
        <f>HYPERLINK("https://elefant.by/catalogue/153519587","Посмотреть на сайте ...")</f>
        <v>Посмотреть на сайте ...</v>
      </c>
    </row>
    <row r="1165" spans="1:8" s="16" customFormat="1" x14ac:dyDescent="0.25">
      <c r="A1165" s="17">
        <v>1155</v>
      </c>
      <c r="B1165" s="17" t="s">
        <v>1324</v>
      </c>
      <c r="C1165" s="17" t="s">
        <v>1375</v>
      </c>
      <c r="D1165" s="18">
        <v>20</v>
      </c>
      <c r="E1165" s="18">
        <v>4.55</v>
      </c>
      <c r="F1165" s="18">
        <v>5.46</v>
      </c>
      <c r="G1165" s="20" t="s">
        <v>1376</v>
      </c>
      <c r="H1165" s="19" t="str">
        <f>HYPERLINK("https://elefant.by/catalogue/151968999","Посмотреть на сайте ...")</f>
        <v>Посмотреть на сайте ...</v>
      </c>
    </row>
    <row r="1166" spans="1:8" s="16" customFormat="1" x14ac:dyDescent="0.25">
      <c r="A1166" s="17">
        <v>1156</v>
      </c>
      <c r="B1166" s="17" t="s">
        <v>1324</v>
      </c>
      <c r="C1166" s="17" t="s">
        <v>1377</v>
      </c>
      <c r="D1166" s="18">
        <v>20</v>
      </c>
      <c r="E1166" s="18">
        <v>4.55</v>
      </c>
      <c r="F1166" s="18">
        <v>5.46</v>
      </c>
      <c r="G1166" s="20" t="s">
        <v>1378</v>
      </c>
      <c r="H1166" s="19" t="str">
        <f>HYPERLINK("https://elefant.by/catalogue/151941024","Посмотреть на сайте ...")</f>
        <v>Посмотреть на сайте ...</v>
      </c>
    </row>
    <row r="1167" spans="1:8" s="16" customFormat="1" x14ac:dyDescent="0.25">
      <c r="A1167" s="17">
        <v>1157</v>
      </c>
      <c r="B1167" s="17" t="s">
        <v>1324</v>
      </c>
      <c r="C1167" s="17" t="s">
        <v>3403</v>
      </c>
      <c r="D1167" s="18">
        <v>20</v>
      </c>
      <c r="E1167" s="18">
        <v>4.55</v>
      </c>
      <c r="F1167" s="18">
        <v>5.46</v>
      </c>
      <c r="G1167" s="20" t="s">
        <v>4513</v>
      </c>
      <c r="H1167" s="19" t="str">
        <f>HYPERLINK("https://elefant.by/catalogue/151295804","Посмотреть на сайте ...")</f>
        <v>Посмотреть на сайте ...</v>
      </c>
    </row>
    <row r="1168" spans="1:8" s="16" customFormat="1" x14ac:dyDescent="0.25">
      <c r="A1168" s="17">
        <v>1158</v>
      </c>
      <c r="B1168" s="17" t="s">
        <v>1324</v>
      </c>
      <c r="C1168" s="17" t="s">
        <v>1379</v>
      </c>
      <c r="D1168" s="18">
        <v>20</v>
      </c>
      <c r="E1168" s="18">
        <v>5.95</v>
      </c>
      <c r="F1168" s="18">
        <v>7.14</v>
      </c>
      <c r="G1168" s="20" t="s">
        <v>1380</v>
      </c>
      <c r="H1168" s="19" t="str">
        <f>HYPERLINK("https://elefant.by/catalogue/166215825","Посмотреть на сайте ...")</f>
        <v>Посмотреть на сайте ...</v>
      </c>
    </row>
    <row r="1169" spans="1:8" s="16" customFormat="1" x14ac:dyDescent="0.25">
      <c r="A1169" s="17">
        <v>1159</v>
      </c>
      <c r="B1169" s="17" t="s">
        <v>1324</v>
      </c>
      <c r="C1169" s="17" t="s">
        <v>1381</v>
      </c>
      <c r="D1169" s="18">
        <v>20</v>
      </c>
      <c r="E1169" s="18">
        <v>5.95</v>
      </c>
      <c r="F1169" s="18">
        <v>7.14</v>
      </c>
      <c r="G1169" s="20" t="s">
        <v>1382</v>
      </c>
      <c r="H1169" s="19" t="str">
        <f>HYPERLINK("https://elefant.by/catalogue/166215826","Посмотреть на сайте ...")</f>
        <v>Посмотреть на сайте ...</v>
      </c>
    </row>
    <row r="1170" spans="1:8" s="16" customFormat="1" x14ac:dyDescent="0.25">
      <c r="A1170" s="17">
        <v>1160</v>
      </c>
      <c r="B1170" s="17" t="s">
        <v>11</v>
      </c>
      <c r="C1170" s="17" t="s">
        <v>1383</v>
      </c>
      <c r="D1170" s="18">
        <v>1</v>
      </c>
      <c r="E1170" s="18">
        <v>11.67</v>
      </c>
      <c r="F1170" s="18">
        <v>14</v>
      </c>
      <c r="G1170" s="20" t="s">
        <v>1384</v>
      </c>
      <c r="H1170" s="19" t="str">
        <f>HYPERLINK("https://elefant.by/catalogue/166650174","Посмотреть на сайте ...")</f>
        <v>Посмотреть на сайте ...</v>
      </c>
    </row>
    <row r="1171" spans="1:8" s="16" customFormat="1" x14ac:dyDescent="0.25">
      <c r="A1171" s="17">
        <v>1161</v>
      </c>
      <c r="B1171" s="17" t="s">
        <v>11</v>
      </c>
      <c r="C1171" s="17" t="s">
        <v>3404</v>
      </c>
      <c r="D1171" s="18">
        <v>1</v>
      </c>
      <c r="E1171" s="18">
        <v>11.67</v>
      </c>
      <c r="F1171" s="18">
        <v>14</v>
      </c>
      <c r="G1171" s="20" t="s">
        <v>4514</v>
      </c>
      <c r="H1171" s="19" t="str">
        <f>HYPERLINK("https://elefant.by/catalogue/163324468","Посмотреть на сайте ...")</f>
        <v>Посмотреть на сайте ...</v>
      </c>
    </row>
    <row r="1172" spans="1:8" s="16" customFormat="1" x14ac:dyDescent="0.25">
      <c r="A1172" s="17">
        <v>1162</v>
      </c>
      <c r="B1172" s="17" t="s">
        <v>11</v>
      </c>
      <c r="C1172" s="17" t="s">
        <v>1385</v>
      </c>
      <c r="D1172" s="18">
        <v>1</v>
      </c>
      <c r="E1172" s="18">
        <v>2.11</v>
      </c>
      <c r="F1172" s="18">
        <v>2.5299999999999998</v>
      </c>
      <c r="G1172" s="20" t="s">
        <v>1386</v>
      </c>
      <c r="H1172" s="19" t="str">
        <f>HYPERLINK("https://elefant.by/catalogue/163324473","Посмотреть на сайте ...")</f>
        <v>Посмотреть на сайте ...</v>
      </c>
    </row>
    <row r="1173" spans="1:8" s="16" customFormat="1" x14ac:dyDescent="0.25">
      <c r="A1173" s="17">
        <v>1163</v>
      </c>
      <c r="B1173" s="17" t="s">
        <v>11</v>
      </c>
      <c r="C1173" s="17" t="s">
        <v>1387</v>
      </c>
      <c r="D1173" s="18">
        <v>1</v>
      </c>
      <c r="E1173" s="18">
        <v>2.11</v>
      </c>
      <c r="F1173" s="18">
        <v>2.5299999999999998</v>
      </c>
      <c r="G1173" s="20" t="s">
        <v>1388</v>
      </c>
      <c r="H1173" s="19" t="str">
        <f>HYPERLINK("https://elefant.by/catalogue/163324472","Посмотреть на сайте ...")</f>
        <v>Посмотреть на сайте ...</v>
      </c>
    </row>
    <row r="1174" spans="1:8" s="16" customFormat="1" x14ac:dyDescent="0.25">
      <c r="A1174" s="17">
        <v>1164</v>
      </c>
      <c r="B1174" s="17" t="s">
        <v>63</v>
      </c>
      <c r="C1174" s="17" t="s">
        <v>3405</v>
      </c>
      <c r="D1174" s="18">
        <v>8</v>
      </c>
      <c r="E1174" s="18">
        <v>1.31</v>
      </c>
      <c r="F1174" s="18">
        <v>1.57</v>
      </c>
      <c r="G1174" s="20" t="s">
        <v>4515</v>
      </c>
      <c r="H1174" s="19" t="str">
        <f>HYPERLINK("https://elefant.by/catalogue/610376473","Посмотреть на сайте ...")</f>
        <v>Посмотреть на сайте ...</v>
      </c>
    </row>
    <row r="1175" spans="1:8" s="16" customFormat="1" x14ac:dyDescent="0.25">
      <c r="A1175" s="17">
        <v>1165</v>
      </c>
      <c r="B1175" s="17" t="s">
        <v>63</v>
      </c>
      <c r="C1175" s="17" t="s">
        <v>1389</v>
      </c>
      <c r="D1175" s="18">
        <v>8</v>
      </c>
      <c r="E1175" s="18">
        <v>1.27</v>
      </c>
      <c r="F1175" s="18">
        <v>1.52</v>
      </c>
      <c r="G1175" s="20" t="s">
        <v>1390</v>
      </c>
      <c r="H1175" s="19" t="str">
        <f>HYPERLINK("https://elefant.by/catalogue/576160833","Посмотреть на сайте ...")</f>
        <v>Посмотреть на сайте ...</v>
      </c>
    </row>
    <row r="1176" spans="1:8" s="16" customFormat="1" x14ac:dyDescent="0.25">
      <c r="A1176" s="17">
        <v>1166</v>
      </c>
      <c r="B1176" s="17" t="s">
        <v>9</v>
      </c>
      <c r="C1176" s="17" t="s">
        <v>3406</v>
      </c>
      <c r="D1176" s="18">
        <v>4</v>
      </c>
      <c r="E1176" s="18">
        <v>2.21</v>
      </c>
      <c r="F1176" s="18">
        <v>2.65</v>
      </c>
      <c r="G1176" s="20" t="s">
        <v>4516</v>
      </c>
      <c r="H1176" s="19" t="str">
        <f>HYPERLINK("https://elefant.by/catalogue/654798178","Посмотреть на сайте ...")</f>
        <v>Посмотреть на сайте ...</v>
      </c>
    </row>
    <row r="1177" spans="1:8" s="16" customFormat="1" x14ac:dyDescent="0.25">
      <c r="A1177" s="17">
        <v>1167</v>
      </c>
      <c r="B1177" s="17" t="s">
        <v>9</v>
      </c>
      <c r="C1177" s="17" t="s">
        <v>3407</v>
      </c>
      <c r="D1177" s="18">
        <v>4</v>
      </c>
      <c r="E1177" s="18">
        <v>2.21</v>
      </c>
      <c r="F1177" s="18">
        <v>2.65</v>
      </c>
      <c r="G1177" s="20" t="s">
        <v>4517</v>
      </c>
      <c r="H1177" s="19" t="str">
        <f>HYPERLINK("https://elefant.by/catalogue/656622139","Посмотреть на сайте ...")</f>
        <v>Посмотреть на сайте ...</v>
      </c>
    </row>
    <row r="1178" spans="1:8" s="16" customFormat="1" x14ac:dyDescent="0.25">
      <c r="A1178" s="17">
        <v>1168</v>
      </c>
      <c r="B1178" s="17" t="s">
        <v>9</v>
      </c>
      <c r="C1178" s="17" t="s">
        <v>3408</v>
      </c>
      <c r="D1178" s="18">
        <v>4</v>
      </c>
      <c r="E1178" s="18">
        <v>3.27</v>
      </c>
      <c r="F1178" s="18">
        <v>3.92</v>
      </c>
      <c r="G1178" s="20" t="s">
        <v>4518</v>
      </c>
      <c r="H1178" s="19" t="str">
        <f>HYPERLINK("https://elefant.by/catalogue/653078699","Посмотреть на сайте ...")</f>
        <v>Посмотреть на сайте ...</v>
      </c>
    </row>
    <row r="1179" spans="1:8" s="16" customFormat="1" x14ac:dyDescent="0.25">
      <c r="A1179" s="17">
        <v>1169</v>
      </c>
      <c r="B1179" s="17" t="s">
        <v>9</v>
      </c>
      <c r="C1179" s="17" t="s">
        <v>3409</v>
      </c>
      <c r="D1179" s="18">
        <v>4</v>
      </c>
      <c r="E1179" s="18">
        <v>3.27</v>
      </c>
      <c r="F1179" s="18">
        <v>3.92</v>
      </c>
      <c r="G1179" s="20" t="s">
        <v>4519</v>
      </c>
      <c r="H1179" s="19" t="str">
        <f>HYPERLINK("https://elefant.by/catalogue/661335806","Посмотреть на сайте ...")</f>
        <v>Посмотреть на сайте ...</v>
      </c>
    </row>
    <row r="1180" spans="1:8" s="16" customFormat="1" x14ac:dyDescent="0.25">
      <c r="A1180" s="17">
        <v>1170</v>
      </c>
      <c r="B1180" s="17" t="s">
        <v>9</v>
      </c>
      <c r="C1180" s="17" t="s">
        <v>3410</v>
      </c>
      <c r="D1180" s="18">
        <v>12</v>
      </c>
      <c r="E1180" s="18">
        <v>3.27</v>
      </c>
      <c r="F1180" s="18">
        <v>3.92</v>
      </c>
      <c r="G1180" s="20" t="s">
        <v>4520</v>
      </c>
      <c r="H1180" s="19" t="str">
        <f>HYPERLINK("https://elefant.by/catalogue/656622140","Посмотреть на сайте ...")</f>
        <v>Посмотреть на сайте ...</v>
      </c>
    </row>
    <row r="1181" spans="1:8" s="16" customFormat="1" x14ac:dyDescent="0.25">
      <c r="A1181" s="17">
        <v>1171</v>
      </c>
      <c r="B1181" s="17" t="s">
        <v>9</v>
      </c>
      <c r="C1181" s="17" t="s">
        <v>3411</v>
      </c>
      <c r="D1181" s="18">
        <v>12</v>
      </c>
      <c r="E1181" s="18">
        <v>3.27</v>
      </c>
      <c r="F1181" s="18">
        <v>3.92</v>
      </c>
      <c r="G1181" s="20" t="s">
        <v>4521</v>
      </c>
      <c r="H1181" s="19" t="str">
        <f>HYPERLINK("https://elefant.by/catalogue/656622141","Посмотреть на сайте ...")</f>
        <v>Посмотреть на сайте ...</v>
      </c>
    </row>
    <row r="1182" spans="1:8" s="16" customFormat="1" x14ac:dyDescent="0.25">
      <c r="A1182" s="17">
        <v>1172</v>
      </c>
      <c r="B1182" s="17" t="s">
        <v>12</v>
      </c>
      <c r="C1182" s="17" t="s">
        <v>3412</v>
      </c>
      <c r="D1182" s="18">
        <v>12</v>
      </c>
      <c r="E1182" s="18">
        <v>3.29</v>
      </c>
      <c r="F1182" s="18">
        <v>3.95</v>
      </c>
      <c r="G1182" s="20" t="s">
        <v>4522</v>
      </c>
      <c r="H1182" s="19" t="str">
        <f>HYPERLINK("https://elefant.by/catalogue/666059200","Посмотреть на сайте ...")</f>
        <v>Посмотреть на сайте ...</v>
      </c>
    </row>
    <row r="1183" spans="1:8" s="16" customFormat="1" x14ac:dyDescent="0.25">
      <c r="A1183" s="17">
        <v>1173</v>
      </c>
      <c r="B1183" s="17" t="s">
        <v>12</v>
      </c>
      <c r="C1183" s="17" t="s">
        <v>3413</v>
      </c>
      <c r="D1183" s="18">
        <v>12</v>
      </c>
      <c r="E1183" s="18">
        <v>3.29</v>
      </c>
      <c r="F1183" s="18">
        <v>3.95</v>
      </c>
      <c r="G1183" s="20" t="s">
        <v>4523</v>
      </c>
      <c r="H1183" s="19" t="str">
        <f>HYPERLINK("https://elefant.by/catalogue/666059201","Посмотреть на сайте ...")</f>
        <v>Посмотреть на сайте ...</v>
      </c>
    </row>
    <row r="1184" spans="1:8" s="16" customFormat="1" x14ac:dyDescent="0.25">
      <c r="A1184" s="17">
        <v>1174</v>
      </c>
      <c r="B1184" s="17" t="s">
        <v>1324</v>
      </c>
      <c r="C1184" s="17" t="s">
        <v>1391</v>
      </c>
      <c r="D1184" s="18">
        <v>30</v>
      </c>
      <c r="E1184" s="18">
        <v>2.42</v>
      </c>
      <c r="F1184" s="18">
        <v>2.9</v>
      </c>
      <c r="G1184" s="20" t="s">
        <v>1392</v>
      </c>
      <c r="H1184" s="19" t="str">
        <f>HYPERLINK("https://elefant.by/catalogue/153048032","Посмотреть на сайте ...")</f>
        <v>Посмотреть на сайте ...</v>
      </c>
    </row>
    <row r="1185" spans="1:8" s="16" customFormat="1" x14ac:dyDescent="0.25">
      <c r="A1185" s="17">
        <v>1175</v>
      </c>
      <c r="B1185" s="17" t="s">
        <v>1324</v>
      </c>
      <c r="C1185" s="17" t="s">
        <v>1393</v>
      </c>
      <c r="D1185" s="18">
        <v>30</v>
      </c>
      <c r="E1185" s="18">
        <v>2.42</v>
      </c>
      <c r="F1185" s="18">
        <v>2.9</v>
      </c>
      <c r="G1185" s="20" t="s">
        <v>1394</v>
      </c>
      <c r="H1185" s="19" t="str">
        <f>HYPERLINK("https://elefant.by/catalogue/153048033","Посмотреть на сайте ...")</f>
        <v>Посмотреть на сайте ...</v>
      </c>
    </row>
    <row r="1186" spans="1:8" s="16" customFormat="1" x14ac:dyDescent="0.25">
      <c r="A1186" s="17">
        <v>1176</v>
      </c>
      <c r="B1186" s="17" t="s">
        <v>1324</v>
      </c>
      <c r="C1186" s="17" t="s">
        <v>1395</v>
      </c>
      <c r="D1186" s="18">
        <v>30</v>
      </c>
      <c r="E1186" s="18">
        <v>2.42</v>
      </c>
      <c r="F1186" s="18">
        <v>2.9</v>
      </c>
      <c r="G1186" s="20" t="s">
        <v>1396</v>
      </c>
      <c r="H1186" s="19" t="str">
        <f>HYPERLINK("https://elefant.by/catalogue/206598864","Посмотреть на сайте ...")</f>
        <v>Посмотреть на сайте ...</v>
      </c>
    </row>
    <row r="1187" spans="1:8" s="16" customFormat="1" x14ac:dyDescent="0.25">
      <c r="A1187" s="17">
        <v>1177</v>
      </c>
      <c r="B1187" s="17" t="s">
        <v>1324</v>
      </c>
      <c r="C1187" s="17" t="s">
        <v>1397</v>
      </c>
      <c r="D1187" s="18">
        <v>30</v>
      </c>
      <c r="E1187" s="18">
        <v>2.42</v>
      </c>
      <c r="F1187" s="18">
        <v>2.9</v>
      </c>
      <c r="G1187" s="20" t="s">
        <v>1398</v>
      </c>
      <c r="H1187" s="19" t="str">
        <f>HYPERLINK("https://elefant.by/catalogue/152319709","Посмотреть на сайте ...")</f>
        <v>Посмотреть на сайте ...</v>
      </c>
    </row>
    <row r="1188" spans="1:8" s="16" customFormat="1" x14ac:dyDescent="0.25">
      <c r="A1188" s="17">
        <v>1178</v>
      </c>
      <c r="B1188" s="17" t="s">
        <v>1324</v>
      </c>
      <c r="C1188" s="17" t="s">
        <v>1399</v>
      </c>
      <c r="D1188" s="18">
        <v>20</v>
      </c>
      <c r="E1188" s="18">
        <v>2.73</v>
      </c>
      <c r="F1188" s="18">
        <v>3.28</v>
      </c>
      <c r="G1188" s="20" t="s">
        <v>1400</v>
      </c>
      <c r="H1188" s="19" t="str">
        <f>HYPERLINK("https://elefant.by/catalogue/152319714","Посмотреть на сайте ...")</f>
        <v>Посмотреть на сайте ...</v>
      </c>
    </row>
    <row r="1189" spans="1:8" s="16" customFormat="1" x14ac:dyDescent="0.25">
      <c r="A1189" s="17">
        <v>1179</v>
      </c>
      <c r="B1189" s="17" t="s">
        <v>1324</v>
      </c>
      <c r="C1189" s="17" t="s">
        <v>1401</v>
      </c>
      <c r="D1189" s="18">
        <v>20</v>
      </c>
      <c r="E1189" s="18">
        <v>2.73</v>
      </c>
      <c r="F1189" s="18">
        <v>3.28</v>
      </c>
      <c r="G1189" s="20" t="s">
        <v>1402</v>
      </c>
      <c r="H1189" s="19" t="str">
        <f>HYPERLINK("https://elefant.by/catalogue/152319715","Посмотреть на сайте ...")</f>
        <v>Посмотреть на сайте ...</v>
      </c>
    </row>
    <row r="1190" spans="1:8" s="16" customFormat="1" x14ac:dyDescent="0.25">
      <c r="A1190" s="17">
        <v>1180</v>
      </c>
      <c r="B1190" s="17" t="s">
        <v>1324</v>
      </c>
      <c r="C1190" s="17" t="s">
        <v>1403</v>
      </c>
      <c r="D1190" s="18">
        <v>30</v>
      </c>
      <c r="E1190" s="18">
        <v>2.76</v>
      </c>
      <c r="F1190" s="18">
        <v>3.31</v>
      </c>
      <c r="G1190" s="20" t="s">
        <v>1404</v>
      </c>
      <c r="H1190" s="19" t="str">
        <f>HYPERLINK("https://elefant.by/catalogue/153048307","Посмотреть на сайте ...")</f>
        <v>Посмотреть на сайте ...</v>
      </c>
    </row>
    <row r="1191" spans="1:8" s="16" customFormat="1" x14ac:dyDescent="0.25">
      <c r="A1191" s="17">
        <v>1181</v>
      </c>
      <c r="B1191" s="17" t="s">
        <v>1324</v>
      </c>
      <c r="C1191" s="17" t="s">
        <v>3414</v>
      </c>
      <c r="D1191" s="18">
        <v>30</v>
      </c>
      <c r="E1191" s="18">
        <v>2.76</v>
      </c>
      <c r="F1191" s="18">
        <v>3.31</v>
      </c>
      <c r="G1191" s="20" t="s">
        <v>4524</v>
      </c>
      <c r="H1191" s="19" t="str">
        <f>HYPERLINK("https://elefant.by/catalogue/153101913","Посмотреть на сайте ...")</f>
        <v>Посмотреть на сайте ...</v>
      </c>
    </row>
    <row r="1192" spans="1:8" s="16" customFormat="1" x14ac:dyDescent="0.25">
      <c r="A1192" s="17">
        <v>1182</v>
      </c>
      <c r="B1192" s="17" t="s">
        <v>1324</v>
      </c>
      <c r="C1192" s="17" t="s">
        <v>1405</v>
      </c>
      <c r="D1192" s="18">
        <v>30</v>
      </c>
      <c r="E1192" s="18">
        <v>2.76</v>
      </c>
      <c r="F1192" s="18">
        <v>3.31</v>
      </c>
      <c r="G1192" s="20" t="s">
        <v>4525</v>
      </c>
      <c r="H1192" s="19" t="str">
        <f>HYPERLINK("https://elefant.by/catalogue/151903993","Посмотреть на сайте ...")</f>
        <v>Посмотреть на сайте ...</v>
      </c>
    </row>
    <row r="1193" spans="1:8" s="16" customFormat="1" x14ac:dyDescent="0.25">
      <c r="A1193" s="17">
        <v>1183</v>
      </c>
      <c r="B1193" s="17" t="s">
        <v>1324</v>
      </c>
      <c r="C1193" s="17" t="s">
        <v>3415</v>
      </c>
      <c r="D1193" s="18">
        <v>30</v>
      </c>
      <c r="E1193" s="18">
        <v>2.76</v>
      </c>
      <c r="F1193" s="18">
        <v>3.31</v>
      </c>
      <c r="G1193" s="20" t="s">
        <v>4526</v>
      </c>
      <c r="H1193" s="19" t="str">
        <f>HYPERLINK("https://elefant.by/catalogue/150653696","Посмотреть на сайте ...")</f>
        <v>Посмотреть на сайте ...</v>
      </c>
    </row>
    <row r="1194" spans="1:8" s="16" customFormat="1" x14ac:dyDescent="0.25">
      <c r="A1194" s="17">
        <v>1184</v>
      </c>
      <c r="B1194" s="17" t="s">
        <v>1324</v>
      </c>
      <c r="C1194" s="17" t="s">
        <v>1406</v>
      </c>
      <c r="D1194" s="18">
        <v>20</v>
      </c>
      <c r="E1194" s="18">
        <v>3</v>
      </c>
      <c r="F1194" s="18">
        <v>3.6</v>
      </c>
      <c r="G1194" s="20" t="s">
        <v>4527</v>
      </c>
      <c r="H1194" s="19" t="str">
        <f>HYPERLINK("https://elefant.by/catalogue/154270052","Посмотреть на сайте ...")</f>
        <v>Посмотреть на сайте ...</v>
      </c>
    </row>
    <row r="1195" spans="1:8" s="16" customFormat="1" x14ac:dyDescent="0.25">
      <c r="A1195" s="17">
        <v>1185</v>
      </c>
      <c r="B1195" s="17" t="s">
        <v>1324</v>
      </c>
      <c r="C1195" s="17" t="s">
        <v>1407</v>
      </c>
      <c r="D1195" s="18">
        <v>20</v>
      </c>
      <c r="E1195" s="18">
        <v>3</v>
      </c>
      <c r="F1195" s="18">
        <v>3.6</v>
      </c>
      <c r="G1195" s="20" t="s">
        <v>1408</v>
      </c>
      <c r="H1195" s="19" t="str">
        <f>HYPERLINK("https://elefant.by/catalogue/152169893","Посмотреть на сайте ...")</f>
        <v>Посмотреть на сайте ...</v>
      </c>
    </row>
    <row r="1196" spans="1:8" s="16" customFormat="1" x14ac:dyDescent="0.25">
      <c r="A1196" s="17">
        <v>1186</v>
      </c>
      <c r="B1196" s="17" t="s">
        <v>1324</v>
      </c>
      <c r="C1196" s="17" t="s">
        <v>1409</v>
      </c>
      <c r="D1196" s="18">
        <v>20</v>
      </c>
      <c r="E1196" s="18">
        <v>3</v>
      </c>
      <c r="F1196" s="18">
        <v>3.6</v>
      </c>
      <c r="G1196" s="20" t="s">
        <v>1410</v>
      </c>
      <c r="H1196" s="19" t="str">
        <f>HYPERLINK("https://elefant.by/catalogue/154699608","Посмотреть на сайте ...")</f>
        <v>Посмотреть на сайте ...</v>
      </c>
    </row>
    <row r="1197" spans="1:8" s="16" customFormat="1" x14ac:dyDescent="0.25">
      <c r="A1197" s="17">
        <v>1187</v>
      </c>
      <c r="B1197" s="17" t="s">
        <v>1324</v>
      </c>
      <c r="C1197" s="17" t="s">
        <v>1411</v>
      </c>
      <c r="D1197" s="18">
        <v>20</v>
      </c>
      <c r="E1197" s="18">
        <v>3</v>
      </c>
      <c r="F1197" s="18">
        <v>3.6</v>
      </c>
      <c r="G1197" s="20" t="s">
        <v>1412</v>
      </c>
      <c r="H1197" s="19" t="str">
        <f>HYPERLINK("https://elefant.by/catalogue/151295809","Посмотреть на сайте ...")</f>
        <v>Посмотреть на сайте ...</v>
      </c>
    </row>
    <row r="1198" spans="1:8" s="16" customFormat="1" x14ac:dyDescent="0.25">
      <c r="A1198" s="17">
        <v>1188</v>
      </c>
      <c r="B1198" s="17" t="s">
        <v>9</v>
      </c>
      <c r="C1198" s="17" t="s">
        <v>3416</v>
      </c>
      <c r="D1198" s="18">
        <v>4</v>
      </c>
      <c r="E1198" s="18">
        <v>3.68</v>
      </c>
      <c r="F1198" s="18">
        <v>4.42</v>
      </c>
      <c r="G1198" s="20" t="s">
        <v>4528</v>
      </c>
      <c r="H1198" s="19" t="str">
        <f>HYPERLINK("https://elefant.by/catalogue/658778848","Посмотреть на сайте ...")</f>
        <v>Посмотреть на сайте ...</v>
      </c>
    </row>
    <row r="1199" spans="1:8" s="16" customFormat="1" x14ac:dyDescent="0.25">
      <c r="A1199" s="17">
        <v>1189</v>
      </c>
      <c r="B1199" s="17" t="s">
        <v>9</v>
      </c>
      <c r="C1199" s="17" t="s">
        <v>3417</v>
      </c>
      <c r="D1199" s="18">
        <v>4</v>
      </c>
      <c r="E1199" s="18">
        <v>3.68</v>
      </c>
      <c r="F1199" s="18">
        <v>4.42</v>
      </c>
      <c r="G1199" s="20" t="s">
        <v>4529</v>
      </c>
      <c r="H1199" s="19" t="str">
        <f>HYPERLINK("https://elefant.by/catalogue/658778850","Посмотреть на сайте ...")</f>
        <v>Посмотреть на сайте ...</v>
      </c>
    </row>
    <row r="1200" spans="1:8" s="16" customFormat="1" x14ac:dyDescent="0.25">
      <c r="A1200" s="17">
        <v>1190</v>
      </c>
      <c r="B1200" s="17" t="s">
        <v>9</v>
      </c>
      <c r="C1200" s="17" t="s">
        <v>3418</v>
      </c>
      <c r="D1200" s="18">
        <v>4</v>
      </c>
      <c r="E1200" s="18">
        <v>3.68</v>
      </c>
      <c r="F1200" s="18">
        <v>4.42</v>
      </c>
      <c r="G1200" s="20" t="s">
        <v>4530</v>
      </c>
      <c r="H1200" s="19" t="str">
        <f>HYPERLINK("https://elefant.by/catalogue/658778852","Посмотреть на сайте ...")</f>
        <v>Посмотреть на сайте ...</v>
      </c>
    </row>
    <row r="1201" spans="1:8" s="16" customFormat="1" x14ac:dyDescent="0.25">
      <c r="A1201" s="17">
        <v>1191</v>
      </c>
      <c r="B1201" s="17" t="s">
        <v>9</v>
      </c>
      <c r="C1201" s="17" t="s">
        <v>1413</v>
      </c>
      <c r="D1201" s="18">
        <v>4</v>
      </c>
      <c r="E1201" s="18">
        <v>1.91</v>
      </c>
      <c r="F1201" s="18">
        <v>2.29</v>
      </c>
      <c r="G1201" s="20" t="s">
        <v>1414</v>
      </c>
      <c r="H1201" s="19" t="str">
        <f>HYPERLINK("https://elefant.by/catalogue/639354596","Посмотреть на сайте ...")</f>
        <v>Посмотреть на сайте ...</v>
      </c>
    </row>
    <row r="1202" spans="1:8" s="16" customFormat="1" x14ac:dyDescent="0.25">
      <c r="A1202" s="17">
        <v>1192</v>
      </c>
      <c r="B1202" s="17" t="s">
        <v>9</v>
      </c>
      <c r="C1202" s="17" t="s">
        <v>1415</v>
      </c>
      <c r="D1202" s="18">
        <v>4</v>
      </c>
      <c r="E1202" s="18">
        <v>1.91</v>
      </c>
      <c r="F1202" s="18">
        <v>2.29</v>
      </c>
      <c r="G1202" s="20" t="s">
        <v>1416</v>
      </c>
      <c r="H1202" s="19" t="str">
        <f>HYPERLINK("https://elefant.by/catalogue/639354598","Посмотреть на сайте ...")</f>
        <v>Посмотреть на сайте ...</v>
      </c>
    </row>
    <row r="1203" spans="1:8" s="16" customFormat="1" x14ac:dyDescent="0.25">
      <c r="A1203" s="17">
        <v>1193</v>
      </c>
      <c r="B1203" s="17" t="s">
        <v>1324</v>
      </c>
      <c r="C1203" s="17" t="s">
        <v>3419</v>
      </c>
      <c r="D1203" s="18">
        <v>50</v>
      </c>
      <c r="E1203" s="18">
        <v>1.1599999999999999</v>
      </c>
      <c r="F1203" s="18">
        <v>1.39</v>
      </c>
      <c r="G1203" s="20"/>
      <c r="H1203" s="19" t="str">
        <f>HYPERLINK("https://elefant.by/catalogue/679742004","Посмотреть на сайте ...")</f>
        <v>Посмотреть на сайте ...</v>
      </c>
    </row>
    <row r="1204" spans="1:8" s="16" customFormat="1" x14ac:dyDescent="0.25">
      <c r="A1204" s="17">
        <v>1194</v>
      </c>
      <c r="B1204" s="17" t="s">
        <v>1324</v>
      </c>
      <c r="C1204" s="17" t="s">
        <v>1417</v>
      </c>
      <c r="D1204" s="18">
        <v>50</v>
      </c>
      <c r="E1204" s="18">
        <v>1.1599999999999999</v>
      </c>
      <c r="F1204" s="18">
        <v>1.39</v>
      </c>
      <c r="G1204" s="20" t="s">
        <v>1418</v>
      </c>
      <c r="H1204" s="19" t="str">
        <f>HYPERLINK("https://elefant.by/catalogue/434821583","Посмотреть на сайте ...")</f>
        <v>Посмотреть на сайте ...</v>
      </c>
    </row>
    <row r="1205" spans="1:8" s="16" customFormat="1" x14ac:dyDescent="0.25">
      <c r="A1205" s="17">
        <v>1195</v>
      </c>
      <c r="B1205" s="17" t="s">
        <v>1324</v>
      </c>
      <c r="C1205" s="17" t="s">
        <v>1419</v>
      </c>
      <c r="D1205" s="18">
        <v>50</v>
      </c>
      <c r="E1205" s="18">
        <v>1.1599999999999999</v>
      </c>
      <c r="F1205" s="18">
        <v>1.39</v>
      </c>
      <c r="G1205" s="20" t="s">
        <v>1420</v>
      </c>
      <c r="H1205" s="19" t="str">
        <f>HYPERLINK("https://elefant.by/catalogue/434821584","Посмотреть на сайте ...")</f>
        <v>Посмотреть на сайте ...</v>
      </c>
    </row>
    <row r="1206" spans="1:8" s="16" customFormat="1" x14ac:dyDescent="0.25">
      <c r="A1206" s="17">
        <v>1196</v>
      </c>
      <c r="B1206" s="17" t="s">
        <v>1324</v>
      </c>
      <c r="C1206" s="17" t="s">
        <v>1421</v>
      </c>
      <c r="D1206" s="18">
        <v>50</v>
      </c>
      <c r="E1206" s="18">
        <v>1.1599999999999999</v>
      </c>
      <c r="F1206" s="18">
        <v>1.39</v>
      </c>
      <c r="G1206" s="20" t="s">
        <v>1422</v>
      </c>
      <c r="H1206" s="19" t="str">
        <f>HYPERLINK("https://elefant.by/catalogue/434821585","Посмотреть на сайте ...")</f>
        <v>Посмотреть на сайте ...</v>
      </c>
    </row>
    <row r="1207" spans="1:8" s="16" customFormat="1" x14ac:dyDescent="0.25">
      <c r="A1207" s="17">
        <v>1197</v>
      </c>
      <c r="B1207" s="17" t="s">
        <v>1324</v>
      </c>
      <c r="C1207" s="17" t="s">
        <v>1423</v>
      </c>
      <c r="D1207" s="18">
        <v>50</v>
      </c>
      <c r="E1207" s="18">
        <v>2.0499999999999998</v>
      </c>
      <c r="F1207" s="18">
        <v>2.46</v>
      </c>
      <c r="G1207" s="20" t="s">
        <v>1424</v>
      </c>
      <c r="H1207" s="19" t="str">
        <f>HYPERLINK("https://elefant.by/catalogue/150653783","Посмотреть на сайте ...")</f>
        <v>Посмотреть на сайте ...</v>
      </c>
    </row>
    <row r="1208" spans="1:8" s="16" customFormat="1" x14ac:dyDescent="0.25">
      <c r="A1208" s="17">
        <v>1198</v>
      </c>
      <c r="B1208" s="17" t="s">
        <v>1324</v>
      </c>
      <c r="C1208" s="17" t="s">
        <v>1425</v>
      </c>
      <c r="D1208" s="18">
        <v>50</v>
      </c>
      <c r="E1208" s="18">
        <v>2.0499999999999998</v>
      </c>
      <c r="F1208" s="18">
        <v>2.46</v>
      </c>
      <c r="G1208" s="20" t="s">
        <v>1426</v>
      </c>
      <c r="H1208" s="19" t="str">
        <f>HYPERLINK("https://elefant.by/catalogue/150653687","Посмотреть на сайте ...")</f>
        <v>Посмотреть на сайте ...</v>
      </c>
    </row>
    <row r="1209" spans="1:8" s="16" customFormat="1" x14ac:dyDescent="0.25">
      <c r="A1209" s="17">
        <v>1199</v>
      </c>
      <c r="B1209" s="17" t="s">
        <v>1324</v>
      </c>
      <c r="C1209" s="17" t="s">
        <v>1427</v>
      </c>
      <c r="D1209" s="18">
        <v>50</v>
      </c>
      <c r="E1209" s="18">
        <v>2.0499999999999998</v>
      </c>
      <c r="F1209" s="18">
        <v>2.46</v>
      </c>
      <c r="G1209" s="20" t="s">
        <v>1428</v>
      </c>
      <c r="H1209" s="19" t="str">
        <f>HYPERLINK("https://elefant.by/catalogue/150794270","Посмотреть на сайте ...")</f>
        <v>Посмотреть на сайте ...</v>
      </c>
    </row>
    <row r="1210" spans="1:8" s="16" customFormat="1" x14ac:dyDescent="0.25">
      <c r="A1210" s="17">
        <v>1200</v>
      </c>
      <c r="B1210" s="17" t="s">
        <v>1324</v>
      </c>
      <c r="C1210" s="17" t="s">
        <v>1429</v>
      </c>
      <c r="D1210" s="18">
        <v>50</v>
      </c>
      <c r="E1210" s="18">
        <v>2.0499999999999998</v>
      </c>
      <c r="F1210" s="18">
        <v>2.46</v>
      </c>
      <c r="G1210" s="20" t="s">
        <v>1430</v>
      </c>
      <c r="H1210" s="19" t="str">
        <f>HYPERLINK("https://elefant.by/catalogue/150653688","Посмотреть на сайте ...")</f>
        <v>Посмотреть на сайте ...</v>
      </c>
    </row>
    <row r="1211" spans="1:8" s="16" customFormat="1" x14ac:dyDescent="0.25">
      <c r="A1211" s="17">
        <v>1201</v>
      </c>
      <c r="B1211" s="17" t="s">
        <v>1324</v>
      </c>
      <c r="C1211" s="17" t="s">
        <v>1431</v>
      </c>
      <c r="D1211" s="18">
        <v>50</v>
      </c>
      <c r="E1211" s="18">
        <v>2.0499999999999998</v>
      </c>
      <c r="F1211" s="18">
        <v>2.46</v>
      </c>
      <c r="G1211" s="20" t="s">
        <v>1432</v>
      </c>
      <c r="H1211" s="19" t="str">
        <f>HYPERLINK("https://elefant.by/catalogue/151616526","Посмотреть на сайте ...")</f>
        <v>Посмотреть на сайте ...</v>
      </c>
    </row>
    <row r="1212" spans="1:8" s="16" customFormat="1" x14ac:dyDescent="0.25">
      <c r="A1212" s="17">
        <v>1202</v>
      </c>
      <c r="B1212" s="17" t="s">
        <v>318</v>
      </c>
      <c r="C1212" s="17" t="s">
        <v>3420</v>
      </c>
      <c r="D1212" s="18">
        <v>12</v>
      </c>
      <c r="E1212" s="18">
        <v>8.0500000000000007</v>
      </c>
      <c r="F1212" s="18">
        <v>9.66</v>
      </c>
      <c r="G1212" s="20" t="s">
        <v>4531</v>
      </c>
      <c r="H1212" s="19" t="str">
        <f>HYPERLINK("https://elefant.by/catalogue/682809589","Посмотреть на сайте ...")</f>
        <v>Посмотреть на сайте ...</v>
      </c>
    </row>
    <row r="1213" spans="1:8" s="16" customFormat="1" x14ac:dyDescent="0.25">
      <c r="A1213" s="17">
        <v>1203</v>
      </c>
      <c r="B1213" s="17" t="s">
        <v>318</v>
      </c>
      <c r="C1213" s="17" t="s">
        <v>3421</v>
      </c>
      <c r="D1213" s="18">
        <v>12</v>
      </c>
      <c r="E1213" s="18">
        <v>8.0500000000000007</v>
      </c>
      <c r="F1213" s="18">
        <v>9.66</v>
      </c>
      <c r="G1213" s="20" t="s">
        <v>4532</v>
      </c>
      <c r="H1213" s="19" t="str">
        <f>HYPERLINK("https://elefant.by/catalogue/651037845","Посмотреть на сайте ...")</f>
        <v>Посмотреть на сайте ...</v>
      </c>
    </row>
    <row r="1214" spans="1:8" s="16" customFormat="1" x14ac:dyDescent="0.25">
      <c r="A1214" s="17">
        <v>1204</v>
      </c>
      <c r="B1214" s="17" t="s">
        <v>318</v>
      </c>
      <c r="C1214" s="17" t="s">
        <v>3422</v>
      </c>
      <c r="D1214" s="18">
        <v>12</v>
      </c>
      <c r="E1214" s="18">
        <v>8.0500000000000007</v>
      </c>
      <c r="F1214" s="18">
        <v>9.66</v>
      </c>
      <c r="G1214" s="20" t="s">
        <v>4533</v>
      </c>
      <c r="H1214" s="19" t="str">
        <f>HYPERLINK("https://elefant.by/catalogue/697315484","Посмотреть на сайте ...")</f>
        <v>Посмотреть на сайте ...</v>
      </c>
    </row>
    <row r="1215" spans="1:8" s="16" customFormat="1" x14ac:dyDescent="0.25">
      <c r="A1215" s="17">
        <v>1205</v>
      </c>
      <c r="B1215" s="17" t="s">
        <v>318</v>
      </c>
      <c r="C1215" s="17" t="s">
        <v>3423</v>
      </c>
      <c r="D1215" s="18">
        <v>12</v>
      </c>
      <c r="E1215" s="18">
        <v>8.0500000000000007</v>
      </c>
      <c r="F1215" s="18">
        <v>9.66</v>
      </c>
      <c r="G1215" s="20" t="s">
        <v>4534</v>
      </c>
      <c r="H1215" s="19" t="str">
        <f>HYPERLINK("https://elefant.by/catalogue/703599226","Посмотреть на сайте ...")</f>
        <v>Посмотреть на сайте ...</v>
      </c>
    </row>
    <row r="1216" spans="1:8" s="16" customFormat="1" x14ac:dyDescent="0.25">
      <c r="A1216" s="17">
        <v>1206</v>
      </c>
      <c r="B1216" s="17" t="s">
        <v>318</v>
      </c>
      <c r="C1216" s="17" t="s">
        <v>3424</v>
      </c>
      <c r="D1216" s="18">
        <v>12</v>
      </c>
      <c r="E1216" s="18">
        <v>8.0500000000000007</v>
      </c>
      <c r="F1216" s="18">
        <v>9.66</v>
      </c>
      <c r="G1216" s="20" t="s">
        <v>4535</v>
      </c>
      <c r="H1216" s="19" t="str">
        <f>HYPERLINK("https://elefant.by/catalogue/703599225","Посмотреть на сайте ...")</f>
        <v>Посмотреть на сайте ...</v>
      </c>
    </row>
    <row r="1217" spans="1:8" s="16" customFormat="1" x14ac:dyDescent="0.25">
      <c r="A1217" s="17">
        <v>1207</v>
      </c>
      <c r="B1217" s="17" t="s">
        <v>318</v>
      </c>
      <c r="C1217" s="17" t="s">
        <v>3425</v>
      </c>
      <c r="D1217" s="18">
        <v>12</v>
      </c>
      <c r="E1217" s="18">
        <v>8.0500000000000007</v>
      </c>
      <c r="F1217" s="18">
        <v>9.66</v>
      </c>
      <c r="G1217" s="20" t="s">
        <v>4536</v>
      </c>
      <c r="H1217" s="19" t="str">
        <f>HYPERLINK("https://elefant.by/catalogue/703724344","Посмотреть на сайте ...")</f>
        <v>Посмотреть на сайте ...</v>
      </c>
    </row>
    <row r="1218" spans="1:8" s="16" customFormat="1" x14ac:dyDescent="0.25">
      <c r="A1218" s="17">
        <v>1208</v>
      </c>
      <c r="B1218" s="17" t="s">
        <v>318</v>
      </c>
      <c r="C1218" s="17" t="s">
        <v>3426</v>
      </c>
      <c r="D1218" s="18">
        <v>12</v>
      </c>
      <c r="E1218" s="18">
        <v>8.0500000000000007</v>
      </c>
      <c r="F1218" s="18">
        <v>9.66</v>
      </c>
      <c r="G1218" s="20" t="s">
        <v>4537</v>
      </c>
      <c r="H1218" s="19" t="str">
        <f>HYPERLINK("https://elefant.by/catalogue/666333392","Посмотреть на сайте ...")</f>
        <v>Посмотреть на сайте ...</v>
      </c>
    </row>
    <row r="1219" spans="1:8" s="16" customFormat="1" x14ac:dyDescent="0.25">
      <c r="A1219" s="17">
        <v>1209</v>
      </c>
      <c r="B1219" s="17" t="s">
        <v>318</v>
      </c>
      <c r="C1219" s="17" t="s">
        <v>3427</v>
      </c>
      <c r="D1219" s="18">
        <v>12</v>
      </c>
      <c r="E1219" s="18">
        <v>6.77</v>
      </c>
      <c r="F1219" s="18">
        <v>8.1199999999999992</v>
      </c>
      <c r="G1219" s="20" t="s">
        <v>4538</v>
      </c>
      <c r="H1219" s="19" t="str">
        <f>HYPERLINK("https://elefant.by/catalogue/640688522","Посмотреть на сайте ...")</f>
        <v>Посмотреть на сайте ...</v>
      </c>
    </row>
    <row r="1220" spans="1:8" s="16" customFormat="1" x14ac:dyDescent="0.25">
      <c r="A1220" s="17">
        <v>1210</v>
      </c>
      <c r="B1220" s="17" t="s">
        <v>318</v>
      </c>
      <c r="C1220" s="17" t="s">
        <v>3428</v>
      </c>
      <c r="D1220" s="18">
        <v>12</v>
      </c>
      <c r="E1220" s="18">
        <v>7.41</v>
      </c>
      <c r="F1220" s="18">
        <v>8.89</v>
      </c>
      <c r="G1220" s="20" t="s">
        <v>4539</v>
      </c>
      <c r="H1220" s="19" t="str">
        <f>HYPERLINK("https://elefant.by/catalogue/191042896","Посмотреть на сайте ...")</f>
        <v>Посмотреть на сайте ...</v>
      </c>
    </row>
    <row r="1221" spans="1:8" s="16" customFormat="1" x14ac:dyDescent="0.25">
      <c r="A1221" s="17">
        <v>1211</v>
      </c>
      <c r="B1221" s="17" t="s">
        <v>12</v>
      </c>
      <c r="C1221" s="17" t="s">
        <v>3429</v>
      </c>
      <c r="D1221" s="18">
        <v>12</v>
      </c>
      <c r="E1221" s="18">
        <v>3.37</v>
      </c>
      <c r="F1221" s="18">
        <v>4.04</v>
      </c>
      <c r="G1221" s="20" t="s">
        <v>4540</v>
      </c>
      <c r="H1221" s="19" t="str">
        <f>HYPERLINK("https://elefant.by/catalogue/656942536","Посмотреть на сайте ...")</f>
        <v>Посмотреть на сайте ...</v>
      </c>
    </row>
    <row r="1222" spans="1:8" s="16" customFormat="1" x14ac:dyDescent="0.25">
      <c r="A1222" s="17">
        <v>1212</v>
      </c>
      <c r="B1222" s="17" t="s">
        <v>12</v>
      </c>
      <c r="C1222" s="17" t="s">
        <v>3430</v>
      </c>
      <c r="D1222" s="18">
        <v>12</v>
      </c>
      <c r="E1222" s="18">
        <v>3.37</v>
      </c>
      <c r="F1222" s="18">
        <v>4.04</v>
      </c>
      <c r="G1222" s="20" t="s">
        <v>4541</v>
      </c>
      <c r="H1222" s="19" t="str">
        <f>HYPERLINK("https://elefant.by/catalogue/656942535","Посмотреть на сайте ...")</f>
        <v>Посмотреть на сайте ...</v>
      </c>
    </row>
    <row r="1223" spans="1:8" s="16" customFormat="1" x14ac:dyDescent="0.25">
      <c r="A1223" s="17">
        <v>1213</v>
      </c>
      <c r="B1223" s="17" t="s">
        <v>1324</v>
      </c>
      <c r="C1223" s="17" t="s">
        <v>1433</v>
      </c>
      <c r="D1223" s="18">
        <v>20</v>
      </c>
      <c r="E1223" s="18">
        <v>3.05</v>
      </c>
      <c r="F1223" s="18">
        <v>3.66</v>
      </c>
      <c r="G1223" s="20" t="s">
        <v>1434</v>
      </c>
      <c r="H1223" s="19" t="str">
        <f>HYPERLINK("https://elefant.by/catalogue/164979959","Посмотреть на сайте ...")</f>
        <v>Посмотреть на сайте ...</v>
      </c>
    </row>
    <row r="1224" spans="1:8" s="16" customFormat="1" x14ac:dyDescent="0.25">
      <c r="A1224" s="17">
        <v>1214</v>
      </c>
      <c r="B1224" s="17" t="s">
        <v>1324</v>
      </c>
      <c r="C1224" s="17" t="s">
        <v>1435</v>
      </c>
      <c r="D1224" s="18">
        <v>20</v>
      </c>
      <c r="E1224" s="18">
        <v>3.05</v>
      </c>
      <c r="F1224" s="18">
        <v>3.66</v>
      </c>
      <c r="G1224" s="20" t="s">
        <v>1436</v>
      </c>
      <c r="H1224" s="19" t="str">
        <f>HYPERLINK("https://elefant.by/catalogue/164979960","Посмотреть на сайте ...")</f>
        <v>Посмотреть на сайте ...</v>
      </c>
    </row>
    <row r="1225" spans="1:8" s="16" customFormat="1" x14ac:dyDescent="0.25">
      <c r="A1225" s="17">
        <v>1215</v>
      </c>
      <c r="B1225" s="17" t="s">
        <v>9</v>
      </c>
      <c r="C1225" s="17" t="s">
        <v>3431</v>
      </c>
      <c r="D1225" s="18">
        <v>4</v>
      </c>
      <c r="E1225" s="18">
        <v>2.06</v>
      </c>
      <c r="F1225" s="18">
        <v>2.4700000000000002</v>
      </c>
      <c r="G1225" s="20" t="s">
        <v>4542</v>
      </c>
      <c r="H1225" s="19" t="str">
        <f>HYPERLINK("https://elefant.by/catalogue/661335807","Посмотреть на сайте ...")</f>
        <v>Посмотреть на сайте ...</v>
      </c>
    </row>
    <row r="1226" spans="1:8" s="16" customFormat="1" x14ac:dyDescent="0.25">
      <c r="A1226" s="17">
        <v>1216</v>
      </c>
      <c r="B1226" s="17" t="s">
        <v>9</v>
      </c>
      <c r="C1226" s="17" t="s">
        <v>3432</v>
      </c>
      <c r="D1226" s="18">
        <v>4</v>
      </c>
      <c r="E1226" s="18">
        <v>2.06</v>
      </c>
      <c r="F1226" s="18">
        <v>2.4700000000000002</v>
      </c>
      <c r="G1226" s="20" t="s">
        <v>4543</v>
      </c>
      <c r="H1226" s="19" t="str">
        <f>HYPERLINK("https://elefant.by/catalogue/659526908","Посмотреть на сайте ...")</f>
        <v>Посмотреть на сайте ...</v>
      </c>
    </row>
    <row r="1227" spans="1:8" s="16" customFormat="1" x14ac:dyDescent="0.25">
      <c r="A1227" s="17">
        <v>1217</v>
      </c>
      <c r="B1227" s="17" t="s">
        <v>9</v>
      </c>
      <c r="C1227" s="17" t="s">
        <v>3433</v>
      </c>
      <c r="D1227" s="18">
        <v>4</v>
      </c>
      <c r="E1227" s="18">
        <v>2.06</v>
      </c>
      <c r="F1227" s="18">
        <v>2.4700000000000002</v>
      </c>
      <c r="G1227" s="20" t="s">
        <v>4544</v>
      </c>
      <c r="H1227" s="19" t="str">
        <f>HYPERLINK("https://elefant.by/catalogue/658778851","Посмотреть на сайте ...")</f>
        <v>Посмотреть на сайте ...</v>
      </c>
    </row>
    <row r="1228" spans="1:8" s="16" customFormat="1" x14ac:dyDescent="0.25">
      <c r="A1228" s="17">
        <v>1218</v>
      </c>
      <c r="B1228" s="17" t="s">
        <v>9</v>
      </c>
      <c r="C1228" s="17" t="s">
        <v>3434</v>
      </c>
      <c r="D1228" s="18">
        <v>4</v>
      </c>
      <c r="E1228" s="18">
        <v>2.06</v>
      </c>
      <c r="F1228" s="18">
        <v>2.4700000000000002</v>
      </c>
      <c r="G1228" s="20" t="s">
        <v>4545</v>
      </c>
      <c r="H1228" s="19" t="str">
        <f>HYPERLINK("https://elefant.by/catalogue/658778853","Посмотреть на сайте ...")</f>
        <v>Посмотреть на сайте ...</v>
      </c>
    </row>
    <row r="1229" spans="1:8" s="16" customFormat="1" x14ac:dyDescent="0.25">
      <c r="A1229" s="17">
        <v>1219</v>
      </c>
      <c r="B1229" s="17" t="s">
        <v>9</v>
      </c>
      <c r="C1229" s="17" t="s">
        <v>1437</v>
      </c>
      <c r="D1229" s="18">
        <v>4</v>
      </c>
      <c r="E1229" s="18">
        <v>1.48</v>
      </c>
      <c r="F1229" s="18">
        <v>1.78</v>
      </c>
      <c r="G1229" s="20" t="s">
        <v>1438</v>
      </c>
      <c r="H1229" s="19" t="str">
        <f>HYPERLINK("https://elefant.by/catalogue/639354597","Посмотреть на сайте ...")</f>
        <v>Посмотреть на сайте ...</v>
      </c>
    </row>
    <row r="1230" spans="1:8" s="16" customFormat="1" x14ac:dyDescent="0.25">
      <c r="A1230" s="17">
        <v>1220</v>
      </c>
      <c r="B1230" s="17" t="s">
        <v>9</v>
      </c>
      <c r="C1230" s="17" t="s">
        <v>1439</v>
      </c>
      <c r="D1230" s="18">
        <v>4</v>
      </c>
      <c r="E1230" s="18">
        <v>1.48</v>
      </c>
      <c r="F1230" s="18">
        <v>1.78</v>
      </c>
      <c r="G1230" s="20" t="s">
        <v>1440</v>
      </c>
      <c r="H1230" s="19" t="str">
        <f>HYPERLINK("https://elefant.by/catalogue/639354599","Посмотреть на сайте ...")</f>
        <v>Посмотреть на сайте ...</v>
      </c>
    </row>
    <row r="1231" spans="1:8" s="16" customFormat="1" x14ac:dyDescent="0.25">
      <c r="A1231" s="17">
        <v>1221</v>
      </c>
      <c r="B1231" s="17" t="s">
        <v>12</v>
      </c>
      <c r="C1231" s="17" t="s">
        <v>3435</v>
      </c>
      <c r="D1231" s="18">
        <v>12</v>
      </c>
      <c r="E1231" s="18">
        <v>2.44</v>
      </c>
      <c r="F1231" s="18">
        <v>2.93</v>
      </c>
      <c r="G1231" s="20" t="s">
        <v>4546</v>
      </c>
      <c r="H1231" s="19" t="str">
        <f>HYPERLINK("https://elefant.by/catalogue/665841643","Посмотреть на сайте ...")</f>
        <v>Посмотреть на сайте ...</v>
      </c>
    </row>
    <row r="1232" spans="1:8" s="16" customFormat="1" x14ac:dyDescent="0.25">
      <c r="A1232" s="17">
        <v>1222</v>
      </c>
      <c r="B1232" s="17" t="s">
        <v>12</v>
      </c>
      <c r="C1232" s="17" t="s">
        <v>3436</v>
      </c>
      <c r="D1232" s="18">
        <v>12</v>
      </c>
      <c r="E1232" s="18">
        <v>2.44</v>
      </c>
      <c r="F1232" s="18">
        <v>2.93</v>
      </c>
      <c r="G1232" s="20" t="s">
        <v>4547</v>
      </c>
      <c r="H1232" s="19" t="str">
        <f>HYPERLINK("https://elefant.by/catalogue/673464667","Посмотреть на сайте ...")</f>
        <v>Посмотреть на сайте ...</v>
      </c>
    </row>
    <row r="1233" spans="1:8" s="16" customFormat="1" x14ac:dyDescent="0.25">
      <c r="A1233" s="17">
        <v>1223</v>
      </c>
      <c r="B1233" s="17" t="s">
        <v>12</v>
      </c>
      <c r="C1233" s="17" t="s">
        <v>3437</v>
      </c>
      <c r="D1233" s="18">
        <v>12</v>
      </c>
      <c r="E1233" s="18">
        <v>2.44</v>
      </c>
      <c r="F1233" s="18">
        <v>2.93</v>
      </c>
      <c r="G1233" s="20" t="s">
        <v>4548</v>
      </c>
      <c r="H1233" s="19" t="str">
        <f>HYPERLINK("https://elefant.by/catalogue/656942534","Посмотреть на сайте ...")</f>
        <v>Посмотреть на сайте ...</v>
      </c>
    </row>
    <row r="1234" spans="1:8" s="16" customFormat="1" x14ac:dyDescent="0.25">
      <c r="A1234" s="17">
        <v>1224</v>
      </c>
      <c r="B1234" s="17" t="s">
        <v>12</v>
      </c>
      <c r="C1234" s="17" t="s">
        <v>3438</v>
      </c>
      <c r="D1234" s="18">
        <v>12</v>
      </c>
      <c r="E1234" s="18">
        <v>2.44</v>
      </c>
      <c r="F1234" s="18">
        <v>2.93</v>
      </c>
      <c r="G1234" s="20" t="s">
        <v>4549</v>
      </c>
      <c r="H1234" s="19" t="str">
        <f>HYPERLINK("https://elefant.by/catalogue/665841644","Посмотреть на сайте ...")</f>
        <v>Посмотреть на сайте ...</v>
      </c>
    </row>
    <row r="1235" spans="1:8" s="16" customFormat="1" x14ac:dyDescent="0.25">
      <c r="A1235" s="17">
        <v>1225</v>
      </c>
      <c r="B1235" s="17" t="s">
        <v>12</v>
      </c>
      <c r="C1235" s="17" t="s">
        <v>3439</v>
      </c>
      <c r="D1235" s="18">
        <v>12</v>
      </c>
      <c r="E1235" s="18">
        <v>2.44</v>
      </c>
      <c r="F1235" s="18">
        <v>2.93</v>
      </c>
      <c r="G1235" s="20" t="s">
        <v>4550</v>
      </c>
      <c r="H1235" s="19" t="str">
        <f>HYPERLINK("https://elefant.by/catalogue/665841645","Посмотреть на сайте ...")</f>
        <v>Посмотреть на сайте ...</v>
      </c>
    </row>
    <row r="1236" spans="1:8" s="16" customFormat="1" x14ac:dyDescent="0.25">
      <c r="A1236" s="17">
        <v>1226</v>
      </c>
      <c r="B1236" s="17" t="s">
        <v>11</v>
      </c>
      <c r="C1236" s="17" t="s">
        <v>1443</v>
      </c>
      <c r="D1236" s="18">
        <v>10</v>
      </c>
      <c r="E1236" s="18">
        <v>8.8800000000000008</v>
      </c>
      <c r="F1236" s="18">
        <v>10.66</v>
      </c>
      <c r="G1236" s="20" t="s">
        <v>1444</v>
      </c>
      <c r="H1236" s="19" t="str">
        <f>HYPERLINK("https://elefant.by/catalogue/508890466","Посмотреть на сайте ...")</f>
        <v>Посмотреть на сайте ...</v>
      </c>
    </row>
    <row r="1237" spans="1:8" s="16" customFormat="1" x14ac:dyDescent="0.25">
      <c r="A1237" s="17">
        <v>1227</v>
      </c>
      <c r="B1237" s="17" t="s">
        <v>11</v>
      </c>
      <c r="C1237" s="17" t="s">
        <v>1441</v>
      </c>
      <c r="D1237" s="18">
        <v>10</v>
      </c>
      <c r="E1237" s="18">
        <v>5.73</v>
      </c>
      <c r="F1237" s="18">
        <v>6.88</v>
      </c>
      <c r="G1237" s="20" t="s">
        <v>1442</v>
      </c>
      <c r="H1237" s="19" t="str">
        <f>HYPERLINK("https://elefant.by/catalogue/175500594","Посмотреть на сайте ...")</f>
        <v>Посмотреть на сайте ...</v>
      </c>
    </row>
    <row r="1238" spans="1:8" s="16" customFormat="1" x14ac:dyDescent="0.25">
      <c r="A1238" s="17">
        <v>1228</v>
      </c>
      <c r="B1238" s="17" t="s">
        <v>20</v>
      </c>
      <c r="C1238" s="17" t="s">
        <v>1445</v>
      </c>
      <c r="D1238" s="18">
        <v>5</v>
      </c>
      <c r="E1238" s="18">
        <v>2.88</v>
      </c>
      <c r="F1238" s="18">
        <v>3.46</v>
      </c>
      <c r="G1238" s="20" t="s">
        <v>4551</v>
      </c>
      <c r="H1238" s="19" t="str">
        <f>HYPERLINK("https://elefant.by/catalogue/386634868","Посмотреть на сайте ...")</f>
        <v>Посмотреть на сайте ...</v>
      </c>
    </row>
    <row r="1239" spans="1:8" s="16" customFormat="1" x14ac:dyDescent="0.25">
      <c r="A1239" s="17">
        <v>1229</v>
      </c>
      <c r="B1239" s="17" t="s">
        <v>20</v>
      </c>
      <c r="C1239" s="17" t="s">
        <v>1446</v>
      </c>
      <c r="D1239" s="18">
        <v>5</v>
      </c>
      <c r="E1239" s="18">
        <v>2.88</v>
      </c>
      <c r="F1239" s="18">
        <v>3.46</v>
      </c>
      <c r="G1239" s="20" t="s">
        <v>1447</v>
      </c>
      <c r="H1239" s="19" t="str">
        <f>HYPERLINK("https://elefant.by/catalogue/378174896","Посмотреть на сайте ...")</f>
        <v>Посмотреть на сайте ...</v>
      </c>
    </row>
    <row r="1240" spans="1:8" s="16" customFormat="1" x14ac:dyDescent="0.25">
      <c r="A1240" s="17">
        <v>1230</v>
      </c>
      <c r="B1240" s="17" t="s">
        <v>20</v>
      </c>
      <c r="C1240" s="17" t="s">
        <v>1448</v>
      </c>
      <c r="D1240" s="18">
        <v>5</v>
      </c>
      <c r="E1240" s="18">
        <v>2.88</v>
      </c>
      <c r="F1240" s="18">
        <v>3.46</v>
      </c>
      <c r="G1240" s="20" t="s">
        <v>1449</v>
      </c>
      <c r="H1240" s="19" t="str">
        <f>HYPERLINK("https://elefant.by/catalogue/378174897","Посмотреть на сайте ...")</f>
        <v>Посмотреть на сайте ...</v>
      </c>
    </row>
    <row r="1241" spans="1:8" s="16" customFormat="1" x14ac:dyDescent="0.25">
      <c r="A1241" s="17">
        <v>1231</v>
      </c>
      <c r="B1241" s="17" t="s">
        <v>20</v>
      </c>
      <c r="C1241" s="17" t="s">
        <v>1450</v>
      </c>
      <c r="D1241" s="18">
        <v>5</v>
      </c>
      <c r="E1241" s="18">
        <v>2.88</v>
      </c>
      <c r="F1241" s="18">
        <v>3.46</v>
      </c>
      <c r="G1241" s="20" t="s">
        <v>1451</v>
      </c>
      <c r="H1241" s="19" t="str">
        <f>HYPERLINK("https://elefant.by/catalogue/386634869","Посмотреть на сайте ...")</f>
        <v>Посмотреть на сайте ...</v>
      </c>
    </row>
    <row r="1242" spans="1:8" s="16" customFormat="1" x14ac:dyDescent="0.25">
      <c r="A1242" s="17">
        <v>1232</v>
      </c>
      <c r="B1242" s="17" t="s">
        <v>20</v>
      </c>
      <c r="C1242" s="17" t="s">
        <v>3440</v>
      </c>
      <c r="D1242" s="18">
        <v>5</v>
      </c>
      <c r="E1242" s="18">
        <v>2.88</v>
      </c>
      <c r="F1242" s="18">
        <v>3.46</v>
      </c>
      <c r="G1242" s="20" t="s">
        <v>4552</v>
      </c>
      <c r="H1242" s="19" t="str">
        <f>HYPERLINK("https://elefant.by/catalogue/378174898","Посмотреть на сайте ...")</f>
        <v>Посмотреть на сайте ...</v>
      </c>
    </row>
    <row r="1243" spans="1:8" s="16" customFormat="1" x14ac:dyDescent="0.25">
      <c r="A1243" s="17">
        <v>1233</v>
      </c>
      <c r="B1243" s="17" t="s">
        <v>20</v>
      </c>
      <c r="C1243" s="17" t="s">
        <v>1452</v>
      </c>
      <c r="D1243" s="18">
        <v>5</v>
      </c>
      <c r="E1243" s="18">
        <v>2.88</v>
      </c>
      <c r="F1243" s="18">
        <v>3.46</v>
      </c>
      <c r="G1243" s="20" t="s">
        <v>1453</v>
      </c>
      <c r="H1243" s="19" t="str">
        <f>HYPERLINK("https://elefant.by/catalogue/378174899","Посмотреть на сайте ...")</f>
        <v>Посмотреть на сайте ...</v>
      </c>
    </row>
    <row r="1244" spans="1:8" s="16" customFormat="1" x14ac:dyDescent="0.25">
      <c r="A1244" s="17">
        <v>1234</v>
      </c>
      <c r="B1244" s="17" t="s">
        <v>20</v>
      </c>
      <c r="C1244" s="17" t="s">
        <v>1454</v>
      </c>
      <c r="D1244" s="18">
        <v>5</v>
      </c>
      <c r="E1244" s="18">
        <v>2.88</v>
      </c>
      <c r="F1244" s="18">
        <v>3.46</v>
      </c>
      <c r="G1244" s="20" t="s">
        <v>1455</v>
      </c>
      <c r="H1244" s="19" t="str">
        <f>HYPERLINK("https://elefant.by/catalogue/378174900","Посмотреть на сайте ...")</f>
        <v>Посмотреть на сайте ...</v>
      </c>
    </row>
    <row r="1245" spans="1:8" s="16" customFormat="1" x14ac:dyDescent="0.25">
      <c r="A1245" s="17">
        <v>1235</v>
      </c>
      <c r="B1245" s="17" t="s">
        <v>20</v>
      </c>
      <c r="C1245" s="17" t="s">
        <v>1456</v>
      </c>
      <c r="D1245" s="18">
        <v>5</v>
      </c>
      <c r="E1245" s="18">
        <v>2.88</v>
      </c>
      <c r="F1245" s="18">
        <v>3.46</v>
      </c>
      <c r="G1245" s="20" t="s">
        <v>1457</v>
      </c>
      <c r="H1245" s="19" t="str">
        <f>HYPERLINK("https://elefant.by/catalogue/378174901","Посмотреть на сайте ...")</f>
        <v>Посмотреть на сайте ...</v>
      </c>
    </row>
    <row r="1246" spans="1:8" s="16" customFormat="1" x14ac:dyDescent="0.25">
      <c r="A1246" s="17">
        <v>1236</v>
      </c>
      <c r="B1246" s="17" t="s">
        <v>20</v>
      </c>
      <c r="C1246" s="17" t="s">
        <v>3441</v>
      </c>
      <c r="D1246" s="18">
        <v>5</v>
      </c>
      <c r="E1246" s="18">
        <v>2.88</v>
      </c>
      <c r="F1246" s="18">
        <v>3.46</v>
      </c>
      <c r="G1246" s="20" t="s">
        <v>4553</v>
      </c>
      <c r="H1246" s="19" t="str">
        <f>HYPERLINK("https://elefant.by/catalogue/680065853","Посмотреть на сайте ...")</f>
        <v>Посмотреть на сайте ...</v>
      </c>
    </row>
    <row r="1247" spans="1:8" s="16" customFormat="1" x14ac:dyDescent="0.25">
      <c r="A1247" s="17">
        <v>1237</v>
      </c>
      <c r="B1247" s="17" t="s">
        <v>20</v>
      </c>
      <c r="C1247" s="17" t="s">
        <v>1458</v>
      </c>
      <c r="D1247" s="18">
        <v>1</v>
      </c>
      <c r="E1247" s="18">
        <v>46.37</v>
      </c>
      <c r="F1247" s="18">
        <v>55.64</v>
      </c>
      <c r="G1247" s="20" t="s">
        <v>1459</v>
      </c>
      <c r="H1247" s="19" t="str">
        <f>HYPERLINK("https://elefant.by/catalogue/393135497","Посмотреть на сайте ...")</f>
        <v>Посмотреть на сайте ...</v>
      </c>
    </row>
    <row r="1248" spans="1:8" s="16" customFormat="1" x14ac:dyDescent="0.25">
      <c r="A1248" s="17">
        <v>1238</v>
      </c>
      <c r="B1248" s="17" t="s">
        <v>20</v>
      </c>
      <c r="C1248" s="17" t="s">
        <v>3442</v>
      </c>
      <c r="D1248" s="18">
        <v>1</v>
      </c>
      <c r="E1248" s="18">
        <v>22.31</v>
      </c>
      <c r="F1248" s="18">
        <v>26.77</v>
      </c>
      <c r="G1248" s="20" t="s">
        <v>4554</v>
      </c>
      <c r="H1248" s="19" t="str">
        <f>HYPERLINK("https://elefant.by/catalogue/690759110","Посмотреть на сайте ...")</f>
        <v>Посмотреть на сайте ...</v>
      </c>
    </row>
    <row r="1249" spans="1:8" s="16" customFormat="1" x14ac:dyDescent="0.25">
      <c r="A1249" s="17">
        <v>1239</v>
      </c>
      <c r="B1249" s="17" t="s">
        <v>20</v>
      </c>
      <c r="C1249" s="17" t="s">
        <v>1460</v>
      </c>
      <c r="D1249" s="18">
        <v>1</v>
      </c>
      <c r="E1249" s="18">
        <v>21.98</v>
      </c>
      <c r="F1249" s="18">
        <v>26.38</v>
      </c>
      <c r="G1249" s="20" t="s">
        <v>1461</v>
      </c>
      <c r="H1249" s="19" t="str">
        <f>HYPERLINK("https://elefant.by/catalogue/393135499","Посмотреть на сайте ...")</f>
        <v>Посмотреть на сайте ...</v>
      </c>
    </row>
    <row r="1250" spans="1:8" s="16" customFormat="1" x14ac:dyDescent="0.25">
      <c r="A1250" s="17">
        <v>1240</v>
      </c>
      <c r="B1250" s="17" t="s">
        <v>20</v>
      </c>
      <c r="C1250" s="17" t="s">
        <v>1462</v>
      </c>
      <c r="D1250" s="18">
        <v>1</v>
      </c>
      <c r="E1250" s="18">
        <v>16.97</v>
      </c>
      <c r="F1250" s="18">
        <v>20.36</v>
      </c>
      <c r="G1250" s="20" t="s">
        <v>1463</v>
      </c>
      <c r="H1250" s="19" t="str">
        <f>HYPERLINK("https://elefant.by/catalogue/393135500","Посмотреть на сайте ...")</f>
        <v>Посмотреть на сайте ...</v>
      </c>
    </row>
    <row r="1251" spans="1:8" s="16" customFormat="1" x14ac:dyDescent="0.25">
      <c r="A1251" s="17">
        <v>1241</v>
      </c>
      <c r="B1251" s="17" t="s">
        <v>20</v>
      </c>
      <c r="C1251" s="17" t="s">
        <v>1464</v>
      </c>
      <c r="D1251" s="18">
        <v>1</v>
      </c>
      <c r="E1251" s="18">
        <v>20.239999999999998</v>
      </c>
      <c r="F1251" s="18">
        <v>24.29</v>
      </c>
      <c r="G1251" s="20" t="s">
        <v>1465</v>
      </c>
      <c r="H1251" s="19" t="str">
        <f>HYPERLINK("https://elefant.by/catalogue/393187720","Посмотреть на сайте ...")</f>
        <v>Посмотреть на сайте ...</v>
      </c>
    </row>
    <row r="1252" spans="1:8" s="16" customFormat="1" x14ac:dyDescent="0.25">
      <c r="A1252" s="17">
        <v>1242</v>
      </c>
      <c r="B1252" s="17" t="s">
        <v>20</v>
      </c>
      <c r="C1252" s="17" t="s">
        <v>1466</v>
      </c>
      <c r="D1252" s="18">
        <v>1</v>
      </c>
      <c r="E1252" s="18">
        <v>24.86</v>
      </c>
      <c r="F1252" s="18">
        <v>29.83</v>
      </c>
      <c r="G1252" s="20" t="s">
        <v>1467</v>
      </c>
      <c r="H1252" s="19" t="str">
        <f>HYPERLINK("https://elefant.by/catalogue/477653110","Посмотреть на сайте ...")</f>
        <v>Посмотреть на сайте ...</v>
      </c>
    </row>
    <row r="1253" spans="1:8" s="16" customFormat="1" x14ac:dyDescent="0.25">
      <c r="A1253" s="17">
        <v>1243</v>
      </c>
      <c r="B1253" s="17" t="s">
        <v>20</v>
      </c>
      <c r="C1253" s="17" t="s">
        <v>1468</v>
      </c>
      <c r="D1253" s="18">
        <v>1</v>
      </c>
      <c r="E1253" s="18">
        <v>16.559999999999999</v>
      </c>
      <c r="F1253" s="18">
        <v>19.87</v>
      </c>
      <c r="G1253" s="20" t="s">
        <v>1469</v>
      </c>
      <c r="H1253" s="19" t="str">
        <f>HYPERLINK("https://elefant.by/catalogue/393187722","Посмотреть на сайте ...")</f>
        <v>Посмотреть на сайте ...</v>
      </c>
    </row>
    <row r="1254" spans="1:8" s="16" customFormat="1" x14ac:dyDescent="0.25">
      <c r="A1254" s="17">
        <v>1244</v>
      </c>
      <c r="B1254" s="17" t="s">
        <v>63</v>
      </c>
      <c r="C1254" s="17" t="s">
        <v>1470</v>
      </c>
      <c r="D1254" s="18">
        <v>1</v>
      </c>
      <c r="E1254" s="18">
        <v>15.83</v>
      </c>
      <c r="F1254" s="18">
        <v>19</v>
      </c>
      <c r="G1254" s="20" t="s">
        <v>1471</v>
      </c>
      <c r="H1254" s="19" t="str">
        <f>HYPERLINK("https://elefant.by/catalogue/586331341","Посмотреть на сайте ...")</f>
        <v>Посмотреть на сайте ...</v>
      </c>
    </row>
    <row r="1255" spans="1:8" s="16" customFormat="1" x14ac:dyDescent="0.25">
      <c r="A1255" s="17">
        <v>1245</v>
      </c>
      <c r="B1255" s="17" t="s">
        <v>63</v>
      </c>
      <c r="C1255" s="17" t="s">
        <v>1472</v>
      </c>
      <c r="D1255" s="18">
        <v>1</v>
      </c>
      <c r="E1255" s="18">
        <v>19.43</v>
      </c>
      <c r="F1255" s="18">
        <v>23.32</v>
      </c>
      <c r="G1255" s="20" t="s">
        <v>1473</v>
      </c>
      <c r="H1255" s="19" t="str">
        <f>HYPERLINK("https://elefant.by/catalogue/586331342","Посмотреть на сайте ...")</f>
        <v>Посмотреть на сайте ...</v>
      </c>
    </row>
    <row r="1256" spans="1:8" s="16" customFormat="1" x14ac:dyDescent="0.25">
      <c r="A1256" s="17">
        <v>1246</v>
      </c>
      <c r="B1256" s="17" t="s">
        <v>63</v>
      </c>
      <c r="C1256" s="17" t="s">
        <v>1474</v>
      </c>
      <c r="D1256" s="18">
        <v>1</v>
      </c>
      <c r="E1256" s="18">
        <v>17.68</v>
      </c>
      <c r="F1256" s="18">
        <v>21.22</v>
      </c>
      <c r="G1256" s="20" t="s">
        <v>1475</v>
      </c>
      <c r="H1256" s="19" t="str">
        <f>HYPERLINK("https://elefant.by/catalogue/586331340","Посмотреть на сайте ...")</f>
        <v>Посмотреть на сайте ...</v>
      </c>
    </row>
    <row r="1257" spans="1:8" s="16" customFormat="1" x14ac:dyDescent="0.25">
      <c r="A1257" s="17">
        <v>1247</v>
      </c>
      <c r="B1257" s="17" t="s">
        <v>63</v>
      </c>
      <c r="C1257" s="17" t="s">
        <v>1476</v>
      </c>
      <c r="D1257" s="18">
        <v>1</v>
      </c>
      <c r="E1257" s="18">
        <v>15.99</v>
      </c>
      <c r="F1257" s="18">
        <v>19.190000000000001</v>
      </c>
      <c r="G1257" s="20" t="s">
        <v>1477</v>
      </c>
      <c r="H1257" s="19" t="str">
        <f>HYPERLINK("https://elefant.by/catalogue/576421510","Посмотреть на сайте ...")</f>
        <v>Посмотреть на сайте ...</v>
      </c>
    </row>
    <row r="1258" spans="1:8" s="16" customFormat="1" x14ac:dyDescent="0.25">
      <c r="A1258" s="17">
        <v>1248</v>
      </c>
      <c r="B1258" s="17" t="s">
        <v>12</v>
      </c>
      <c r="C1258" s="17" t="s">
        <v>1478</v>
      </c>
      <c r="D1258" s="18">
        <v>1</v>
      </c>
      <c r="E1258" s="18">
        <v>17.260000000000002</v>
      </c>
      <c r="F1258" s="18">
        <v>20.71</v>
      </c>
      <c r="G1258" s="20" t="s">
        <v>1479</v>
      </c>
      <c r="H1258" s="19" t="str">
        <f>HYPERLINK("https://elefant.by/catalogue/589693326","Посмотреть на сайте ...")</f>
        <v>Посмотреть на сайте ...</v>
      </c>
    </row>
    <row r="1259" spans="1:8" s="16" customFormat="1" x14ac:dyDescent="0.25">
      <c r="A1259" s="17">
        <v>1249</v>
      </c>
      <c r="B1259" s="17" t="s">
        <v>12</v>
      </c>
      <c r="C1259" s="17" t="s">
        <v>1480</v>
      </c>
      <c r="D1259" s="18">
        <v>1</v>
      </c>
      <c r="E1259" s="18">
        <v>20.78</v>
      </c>
      <c r="F1259" s="18">
        <v>24.94</v>
      </c>
      <c r="G1259" s="20" t="s">
        <v>1481</v>
      </c>
      <c r="H1259" s="19" t="str">
        <f>HYPERLINK("https://elefant.by/catalogue/589693327","Посмотреть на сайте ...")</f>
        <v>Посмотреть на сайте ...</v>
      </c>
    </row>
    <row r="1260" spans="1:8" s="16" customFormat="1" x14ac:dyDescent="0.25">
      <c r="A1260" s="17">
        <v>1250</v>
      </c>
      <c r="B1260" s="17" t="s">
        <v>318</v>
      </c>
      <c r="C1260" s="17" t="s">
        <v>3443</v>
      </c>
      <c r="D1260" s="18">
        <v>10</v>
      </c>
      <c r="E1260" s="18">
        <v>15.1</v>
      </c>
      <c r="F1260" s="18">
        <v>18.12</v>
      </c>
      <c r="G1260" s="20" t="s">
        <v>4555</v>
      </c>
      <c r="H1260" s="19" t="str">
        <f>HYPERLINK("https://elefant.by/catalogue/178653831","Посмотреть на сайте ...")</f>
        <v>Посмотреть на сайте ...</v>
      </c>
    </row>
    <row r="1261" spans="1:8" s="16" customFormat="1" x14ac:dyDescent="0.25">
      <c r="A1261" s="17">
        <v>1251</v>
      </c>
      <c r="B1261" s="17" t="s">
        <v>318</v>
      </c>
      <c r="C1261" s="17" t="s">
        <v>3444</v>
      </c>
      <c r="D1261" s="18">
        <v>10</v>
      </c>
      <c r="E1261" s="18">
        <v>15.1</v>
      </c>
      <c r="F1261" s="18">
        <v>18.12</v>
      </c>
      <c r="G1261" s="20" t="s">
        <v>4556</v>
      </c>
      <c r="H1261" s="19" t="str">
        <f>HYPERLINK("https://elefant.by/catalogue/184059646","Посмотреть на сайте ...")</f>
        <v>Посмотреть на сайте ...</v>
      </c>
    </row>
    <row r="1262" spans="1:8" s="16" customFormat="1" x14ac:dyDescent="0.25">
      <c r="A1262" s="17">
        <v>1252</v>
      </c>
      <c r="B1262" s="17" t="s">
        <v>318</v>
      </c>
      <c r="C1262" s="17" t="s">
        <v>3445</v>
      </c>
      <c r="D1262" s="18">
        <v>15</v>
      </c>
      <c r="E1262" s="18">
        <v>8.69</v>
      </c>
      <c r="F1262" s="18">
        <v>10.43</v>
      </c>
      <c r="G1262" s="20" t="s">
        <v>4557</v>
      </c>
      <c r="H1262" s="19" t="str">
        <f>HYPERLINK("https://elefant.by/catalogue/419100490","Посмотреть на сайте ...")</f>
        <v>Посмотреть на сайте ...</v>
      </c>
    </row>
    <row r="1263" spans="1:8" s="16" customFormat="1" x14ac:dyDescent="0.25">
      <c r="A1263" s="17">
        <v>1253</v>
      </c>
      <c r="B1263" s="17" t="s">
        <v>318</v>
      </c>
      <c r="C1263" s="17" t="s">
        <v>3446</v>
      </c>
      <c r="D1263" s="18">
        <v>15</v>
      </c>
      <c r="E1263" s="18">
        <v>8.69</v>
      </c>
      <c r="F1263" s="18">
        <v>10.43</v>
      </c>
      <c r="G1263" s="20" t="s">
        <v>4558</v>
      </c>
      <c r="H1263" s="19" t="str">
        <f>HYPERLINK("https://elefant.by/catalogue/171187459","Посмотреть на сайте ...")</f>
        <v>Посмотреть на сайте ...</v>
      </c>
    </row>
    <row r="1264" spans="1:8" s="16" customFormat="1" x14ac:dyDescent="0.25">
      <c r="A1264" s="17">
        <v>1254</v>
      </c>
      <c r="B1264" s="17" t="s">
        <v>318</v>
      </c>
      <c r="C1264" s="17" t="s">
        <v>3447</v>
      </c>
      <c r="D1264" s="18">
        <v>15</v>
      </c>
      <c r="E1264" s="18">
        <v>9.68</v>
      </c>
      <c r="F1264" s="18">
        <v>11.62</v>
      </c>
      <c r="G1264" s="20" t="s">
        <v>4559</v>
      </c>
      <c r="H1264" s="19" t="str">
        <f>HYPERLINK("https://elefant.by/catalogue/409086990","Посмотреть на сайте ...")</f>
        <v>Посмотреть на сайте ...</v>
      </c>
    </row>
    <row r="1265" spans="1:8" s="16" customFormat="1" x14ac:dyDescent="0.25">
      <c r="A1265" s="17">
        <v>1255</v>
      </c>
      <c r="B1265" s="17" t="s">
        <v>318</v>
      </c>
      <c r="C1265" s="17" t="s">
        <v>3448</v>
      </c>
      <c r="D1265" s="18">
        <v>12</v>
      </c>
      <c r="E1265" s="18">
        <v>4.8499999999999996</v>
      </c>
      <c r="F1265" s="18">
        <v>5.82</v>
      </c>
      <c r="G1265" s="20" t="s">
        <v>4560</v>
      </c>
      <c r="H1265" s="19" t="str">
        <f>HYPERLINK("https://elefant.by/catalogue/354487101","Посмотреть на сайте ...")</f>
        <v>Посмотреть на сайте ...</v>
      </c>
    </row>
    <row r="1266" spans="1:8" s="16" customFormat="1" x14ac:dyDescent="0.25">
      <c r="A1266" s="17">
        <v>1256</v>
      </c>
      <c r="B1266" s="17" t="s">
        <v>318</v>
      </c>
      <c r="C1266" s="17" t="s">
        <v>3449</v>
      </c>
      <c r="D1266" s="18">
        <v>12</v>
      </c>
      <c r="E1266" s="18">
        <v>4.8499999999999996</v>
      </c>
      <c r="F1266" s="18">
        <v>5.82</v>
      </c>
      <c r="G1266" s="20" t="s">
        <v>4561</v>
      </c>
      <c r="H1266" s="19" t="str">
        <f>HYPERLINK("https://elefant.by/catalogue/507908705","Посмотреть на сайте ...")</f>
        <v>Посмотреть на сайте ...</v>
      </c>
    </row>
    <row r="1267" spans="1:8" s="16" customFormat="1" x14ac:dyDescent="0.25">
      <c r="A1267" s="17">
        <v>1257</v>
      </c>
      <c r="B1267" s="17" t="s">
        <v>318</v>
      </c>
      <c r="C1267" s="17" t="s">
        <v>3450</v>
      </c>
      <c r="D1267" s="18">
        <v>12</v>
      </c>
      <c r="E1267" s="18">
        <v>6.82</v>
      </c>
      <c r="F1267" s="18">
        <v>8.18</v>
      </c>
      <c r="G1267" s="20" t="s">
        <v>4562</v>
      </c>
      <c r="H1267" s="19" t="str">
        <f>HYPERLINK("https://elefant.by/catalogue/586455778","Посмотреть на сайте ...")</f>
        <v>Посмотреть на сайте ...</v>
      </c>
    </row>
    <row r="1268" spans="1:8" s="16" customFormat="1" x14ac:dyDescent="0.25">
      <c r="A1268" s="17">
        <v>1258</v>
      </c>
      <c r="B1268" s="17" t="s">
        <v>318</v>
      </c>
      <c r="C1268" s="17" t="s">
        <v>3451</v>
      </c>
      <c r="D1268" s="18">
        <v>12</v>
      </c>
      <c r="E1268" s="18">
        <v>6.82</v>
      </c>
      <c r="F1268" s="18">
        <v>8.18</v>
      </c>
      <c r="G1268" s="20" t="s">
        <v>4563</v>
      </c>
      <c r="H1268" s="19" t="str">
        <f>HYPERLINK("https://elefant.by/catalogue/589541242","Посмотреть на сайте ...")</f>
        <v>Посмотреть на сайте ...</v>
      </c>
    </row>
    <row r="1269" spans="1:8" s="16" customFormat="1" x14ac:dyDescent="0.25">
      <c r="A1269" s="17">
        <v>1259</v>
      </c>
      <c r="B1269" s="17" t="s">
        <v>318</v>
      </c>
      <c r="C1269" s="17" t="s">
        <v>3452</v>
      </c>
      <c r="D1269" s="18">
        <v>12</v>
      </c>
      <c r="E1269" s="18">
        <v>6.82</v>
      </c>
      <c r="F1269" s="18">
        <v>8.18</v>
      </c>
      <c r="G1269" s="20" t="s">
        <v>4564</v>
      </c>
      <c r="H1269" s="19" t="str">
        <f>HYPERLINK("https://elefant.by/catalogue/675674505","Посмотреть на сайте ...")</f>
        <v>Посмотреть на сайте ...</v>
      </c>
    </row>
    <row r="1270" spans="1:8" s="16" customFormat="1" x14ac:dyDescent="0.25">
      <c r="A1270" s="17">
        <v>1260</v>
      </c>
      <c r="B1270" s="17" t="s">
        <v>14</v>
      </c>
      <c r="C1270" s="17" t="s">
        <v>1482</v>
      </c>
      <c r="D1270" s="18">
        <v>50</v>
      </c>
      <c r="E1270" s="18">
        <v>0.36</v>
      </c>
      <c r="F1270" s="18">
        <v>0.43</v>
      </c>
      <c r="G1270" s="20" t="s">
        <v>1483</v>
      </c>
      <c r="H1270" s="19" t="str">
        <f>HYPERLINK("https://elefant.by/catalogue/517105353","Посмотреть на сайте ...")</f>
        <v>Посмотреть на сайте ...</v>
      </c>
    </row>
    <row r="1271" spans="1:8" s="16" customFormat="1" x14ac:dyDescent="0.25">
      <c r="A1271" s="17">
        <v>1261</v>
      </c>
      <c r="B1271" s="17" t="s">
        <v>14</v>
      </c>
      <c r="C1271" s="17" t="s">
        <v>1484</v>
      </c>
      <c r="D1271" s="18">
        <v>40</v>
      </c>
      <c r="E1271" s="18">
        <v>0.62</v>
      </c>
      <c r="F1271" s="18">
        <v>0.74</v>
      </c>
      <c r="G1271" s="20" t="s">
        <v>1485</v>
      </c>
      <c r="H1271" s="19" t="str">
        <f>HYPERLINK("https://elefant.by/catalogue/160623030","Посмотреть на сайте ...")</f>
        <v>Посмотреть на сайте ...</v>
      </c>
    </row>
    <row r="1272" spans="1:8" s="16" customFormat="1" x14ac:dyDescent="0.25">
      <c r="A1272" s="17">
        <v>1262</v>
      </c>
      <c r="B1272" s="17" t="s">
        <v>14</v>
      </c>
      <c r="C1272" s="17" t="s">
        <v>1486</v>
      </c>
      <c r="D1272" s="18">
        <v>1</v>
      </c>
      <c r="E1272" s="18">
        <v>0.79</v>
      </c>
      <c r="F1272" s="18">
        <v>0.95</v>
      </c>
      <c r="G1272" s="20" t="s">
        <v>4565</v>
      </c>
      <c r="H1272" s="19" t="str">
        <f>HYPERLINK("https://elefant.by/catalogue/359479318","Посмотреть на сайте ...")</f>
        <v>Посмотреть на сайте ...</v>
      </c>
    </row>
    <row r="1273" spans="1:8" s="16" customFormat="1" x14ac:dyDescent="0.25">
      <c r="A1273" s="17">
        <v>1263</v>
      </c>
      <c r="B1273" s="17" t="s">
        <v>9</v>
      </c>
      <c r="C1273" s="17" t="s">
        <v>3453</v>
      </c>
      <c r="D1273" s="18">
        <v>12</v>
      </c>
      <c r="E1273" s="18">
        <v>0.59</v>
      </c>
      <c r="F1273" s="18">
        <v>0.71</v>
      </c>
      <c r="G1273" s="20" t="s">
        <v>4566</v>
      </c>
      <c r="H1273" s="19" t="str">
        <f>HYPERLINK("https://elefant.by/catalogue/656622137","Посмотреть на сайте ...")</f>
        <v>Посмотреть на сайте ...</v>
      </c>
    </row>
    <row r="1274" spans="1:8" s="16" customFormat="1" x14ac:dyDescent="0.25">
      <c r="A1274" s="17">
        <v>1264</v>
      </c>
      <c r="B1274" s="17" t="s">
        <v>9</v>
      </c>
      <c r="C1274" s="17" t="s">
        <v>3454</v>
      </c>
      <c r="D1274" s="18">
        <v>12</v>
      </c>
      <c r="E1274" s="18">
        <v>0.78</v>
      </c>
      <c r="F1274" s="18">
        <v>0.94</v>
      </c>
      <c r="G1274" s="20" t="s">
        <v>4567</v>
      </c>
      <c r="H1274" s="19" t="str">
        <f>HYPERLINK("https://elefant.by/catalogue/654798175","Посмотреть на сайте ...")</f>
        <v>Посмотреть на сайте ...</v>
      </c>
    </row>
    <row r="1275" spans="1:8" s="16" customFormat="1" x14ac:dyDescent="0.25">
      <c r="A1275" s="17">
        <v>1265</v>
      </c>
      <c r="B1275" s="17" t="s">
        <v>9</v>
      </c>
      <c r="C1275" s="17" t="s">
        <v>3455</v>
      </c>
      <c r="D1275" s="18">
        <v>12</v>
      </c>
      <c r="E1275" s="18">
        <v>0.7</v>
      </c>
      <c r="F1275" s="18">
        <v>0.84</v>
      </c>
      <c r="G1275" s="20" t="s">
        <v>4568</v>
      </c>
      <c r="H1275" s="19" t="str">
        <f>HYPERLINK("https://elefant.by/catalogue/653078676","Посмотреть на сайте ...")</f>
        <v>Посмотреть на сайте ...</v>
      </c>
    </row>
    <row r="1276" spans="1:8" s="16" customFormat="1" x14ac:dyDescent="0.25">
      <c r="A1276" s="17">
        <v>1266</v>
      </c>
      <c r="B1276" s="17" t="s">
        <v>12</v>
      </c>
      <c r="C1276" s="17" t="s">
        <v>1487</v>
      </c>
      <c r="D1276" s="18">
        <v>12</v>
      </c>
      <c r="E1276" s="18">
        <v>0.71</v>
      </c>
      <c r="F1276" s="18">
        <v>0.85</v>
      </c>
      <c r="G1276" s="20" t="s">
        <v>1488</v>
      </c>
      <c r="H1276" s="19" t="str">
        <f>HYPERLINK("https://elefant.by/catalogue/567489460","Посмотреть на сайте ...")</f>
        <v>Посмотреть на сайте ...</v>
      </c>
    </row>
    <row r="1277" spans="1:8" s="16" customFormat="1" x14ac:dyDescent="0.25">
      <c r="A1277" s="17">
        <v>1267</v>
      </c>
      <c r="B1277" s="17" t="s">
        <v>12</v>
      </c>
      <c r="C1277" s="17" t="s">
        <v>3456</v>
      </c>
      <c r="D1277" s="18">
        <v>12</v>
      </c>
      <c r="E1277" s="18">
        <v>1.93</v>
      </c>
      <c r="F1277" s="18">
        <v>2.3199999999999998</v>
      </c>
      <c r="G1277" s="20" t="s">
        <v>4569</v>
      </c>
      <c r="H1277" s="19" t="str">
        <f>HYPERLINK("https://elefant.by/catalogue/689461269","Посмотреть на сайте ...")</f>
        <v>Посмотреть на сайте ...</v>
      </c>
    </row>
    <row r="1278" spans="1:8" s="16" customFormat="1" x14ac:dyDescent="0.25">
      <c r="A1278" s="17">
        <v>1268</v>
      </c>
      <c r="B1278" s="17" t="s">
        <v>1324</v>
      </c>
      <c r="C1278" s="17" t="s">
        <v>3457</v>
      </c>
      <c r="D1278" s="18">
        <v>20</v>
      </c>
      <c r="E1278" s="18">
        <v>0.79</v>
      </c>
      <c r="F1278" s="18">
        <v>0.95</v>
      </c>
      <c r="G1278" s="20" t="s">
        <v>4570</v>
      </c>
      <c r="H1278" s="19" t="str">
        <f>HYPERLINK("https://elefant.by/catalogue/147111626","Посмотреть на сайте ...")</f>
        <v>Посмотреть на сайте ...</v>
      </c>
    </row>
    <row r="1279" spans="1:8" s="16" customFormat="1" x14ac:dyDescent="0.25">
      <c r="A1279" s="17">
        <v>1269</v>
      </c>
      <c r="B1279" s="17" t="s">
        <v>1324</v>
      </c>
      <c r="C1279" s="17" t="s">
        <v>3458</v>
      </c>
      <c r="D1279" s="18">
        <v>20</v>
      </c>
      <c r="E1279" s="18">
        <v>0.67</v>
      </c>
      <c r="F1279" s="18">
        <v>0.8</v>
      </c>
      <c r="G1279" s="20" t="s">
        <v>4571</v>
      </c>
      <c r="H1279" s="19" t="str">
        <f>HYPERLINK("https://elefant.by/catalogue/147111782","Посмотреть на сайте ...")</f>
        <v>Посмотреть на сайте ...</v>
      </c>
    </row>
    <row r="1280" spans="1:8" s="16" customFormat="1" x14ac:dyDescent="0.25">
      <c r="A1280" s="17">
        <v>1270</v>
      </c>
      <c r="B1280" s="17" t="s">
        <v>12</v>
      </c>
      <c r="C1280" s="17" t="s">
        <v>1489</v>
      </c>
      <c r="D1280" s="18">
        <v>12</v>
      </c>
      <c r="E1280" s="18">
        <v>0.59</v>
      </c>
      <c r="F1280" s="18">
        <v>0.71</v>
      </c>
      <c r="G1280" s="20" t="s">
        <v>1490</v>
      </c>
      <c r="H1280" s="19" t="str">
        <f>HYPERLINK("https://elefant.by/catalogue/581313779","Посмотреть на сайте ...")</f>
        <v>Посмотреть на сайте ...</v>
      </c>
    </row>
    <row r="1281" spans="1:8" s="16" customFormat="1" x14ac:dyDescent="0.25">
      <c r="A1281" s="17">
        <v>1271</v>
      </c>
      <c r="B1281" s="17" t="s">
        <v>1324</v>
      </c>
      <c r="C1281" s="17" t="s">
        <v>1491</v>
      </c>
      <c r="D1281" s="18">
        <v>20</v>
      </c>
      <c r="E1281" s="18">
        <v>0.67</v>
      </c>
      <c r="F1281" s="18">
        <v>0.8</v>
      </c>
      <c r="G1281" s="20" t="s">
        <v>4572</v>
      </c>
      <c r="H1281" s="19" t="str">
        <f>HYPERLINK("https://elefant.by/catalogue/163870740","Посмотреть на сайте ...")</f>
        <v>Посмотреть на сайте ...</v>
      </c>
    </row>
    <row r="1282" spans="1:8" s="16" customFormat="1" x14ac:dyDescent="0.25">
      <c r="A1282" s="17">
        <v>1272</v>
      </c>
      <c r="B1282" s="17" t="s">
        <v>63</v>
      </c>
      <c r="C1282" s="17" t="s">
        <v>3459</v>
      </c>
      <c r="D1282" s="18">
        <v>6</v>
      </c>
      <c r="E1282" s="18">
        <v>1.19</v>
      </c>
      <c r="F1282" s="18">
        <v>1.43</v>
      </c>
      <c r="G1282" s="20" t="s">
        <v>4573</v>
      </c>
      <c r="H1282" s="19" t="str">
        <f>HYPERLINK("https://elefant.by/catalogue/582512314","Посмотреть на сайте ...")</f>
        <v>Посмотреть на сайте ...</v>
      </c>
    </row>
    <row r="1283" spans="1:8" s="16" customFormat="1" x14ac:dyDescent="0.25">
      <c r="A1283" s="17">
        <v>1273</v>
      </c>
      <c r="B1283" s="17" t="s">
        <v>63</v>
      </c>
      <c r="C1283" s="17" t="s">
        <v>3460</v>
      </c>
      <c r="D1283" s="18">
        <v>6</v>
      </c>
      <c r="E1283" s="18">
        <v>1.19</v>
      </c>
      <c r="F1283" s="18">
        <v>1.43</v>
      </c>
      <c r="G1283" s="20" t="s">
        <v>4574</v>
      </c>
      <c r="H1283" s="19" t="str">
        <f>HYPERLINK("https://elefant.by/catalogue/626228116","Посмотреть на сайте ...")</f>
        <v>Посмотреть на сайте ...</v>
      </c>
    </row>
    <row r="1284" spans="1:8" s="16" customFormat="1" x14ac:dyDescent="0.25">
      <c r="A1284" s="17">
        <v>1274</v>
      </c>
      <c r="B1284" s="17" t="s">
        <v>63</v>
      </c>
      <c r="C1284" s="17" t="s">
        <v>3461</v>
      </c>
      <c r="D1284" s="18">
        <v>6</v>
      </c>
      <c r="E1284" s="18">
        <v>1.19</v>
      </c>
      <c r="F1284" s="18">
        <v>1.43</v>
      </c>
      <c r="G1284" s="20" t="s">
        <v>4575</v>
      </c>
      <c r="H1284" s="19" t="str">
        <f>HYPERLINK("https://elefant.by/catalogue/669731773","Посмотреть на сайте ...")</f>
        <v>Посмотреть на сайте ...</v>
      </c>
    </row>
    <row r="1285" spans="1:8" s="16" customFormat="1" x14ac:dyDescent="0.25">
      <c r="A1285" s="17">
        <v>1275</v>
      </c>
      <c r="B1285" s="17" t="s">
        <v>63</v>
      </c>
      <c r="C1285" s="17" t="s">
        <v>1492</v>
      </c>
      <c r="D1285" s="18">
        <v>6</v>
      </c>
      <c r="E1285" s="18">
        <v>1.19</v>
      </c>
      <c r="F1285" s="18">
        <v>1.43</v>
      </c>
      <c r="G1285" s="20" t="s">
        <v>1493</v>
      </c>
      <c r="H1285" s="19" t="str">
        <f>HYPERLINK("https://elefant.by/catalogue/567489435","Посмотреть на сайте ...")</f>
        <v>Посмотреть на сайте ...</v>
      </c>
    </row>
    <row r="1286" spans="1:8" s="16" customFormat="1" x14ac:dyDescent="0.25">
      <c r="A1286" s="17">
        <v>1276</v>
      </c>
      <c r="B1286" s="17" t="s">
        <v>63</v>
      </c>
      <c r="C1286" s="17" t="s">
        <v>1494</v>
      </c>
      <c r="D1286" s="18">
        <v>6</v>
      </c>
      <c r="E1286" s="18">
        <v>1.19</v>
      </c>
      <c r="F1286" s="18">
        <v>1.43</v>
      </c>
      <c r="G1286" s="20" t="s">
        <v>1495</v>
      </c>
      <c r="H1286" s="19" t="str">
        <f>HYPERLINK("https://elefant.by/catalogue/572218325","Посмотреть на сайте ...")</f>
        <v>Посмотреть на сайте ...</v>
      </c>
    </row>
    <row r="1287" spans="1:8" s="16" customFormat="1" x14ac:dyDescent="0.25">
      <c r="A1287" s="17">
        <v>1277</v>
      </c>
      <c r="B1287" s="17" t="s">
        <v>1324</v>
      </c>
      <c r="C1287" s="17" t="s">
        <v>1496</v>
      </c>
      <c r="D1287" s="18">
        <v>30</v>
      </c>
      <c r="E1287" s="18">
        <v>2.2999999999999998</v>
      </c>
      <c r="F1287" s="18">
        <v>2.76</v>
      </c>
      <c r="G1287" s="20" t="s">
        <v>1497</v>
      </c>
      <c r="H1287" s="19" t="str">
        <f>HYPERLINK("https://elefant.by/catalogue/153519668","Посмотреть на сайте ...")</f>
        <v>Посмотреть на сайте ...</v>
      </c>
    </row>
    <row r="1288" spans="1:8" s="16" customFormat="1" x14ac:dyDescent="0.25">
      <c r="A1288" s="17">
        <v>1278</v>
      </c>
      <c r="B1288" s="17" t="s">
        <v>1324</v>
      </c>
      <c r="C1288" s="17" t="s">
        <v>1498</v>
      </c>
      <c r="D1288" s="18">
        <v>30</v>
      </c>
      <c r="E1288" s="18">
        <v>2.2999999999999998</v>
      </c>
      <c r="F1288" s="18">
        <v>2.76</v>
      </c>
      <c r="G1288" s="20" t="s">
        <v>1499</v>
      </c>
      <c r="H1288" s="19" t="str">
        <f>HYPERLINK("https://elefant.by/catalogue/153519665","Посмотреть на сайте ...")</f>
        <v>Посмотреть на сайте ...</v>
      </c>
    </row>
    <row r="1289" spans="1:8" s="16" customFormat="1" x14ac:dyDescent="0.25">
      <c r="A1289" s="17">
        <v>1279</v>
      </c>
      <c r="B1289" s="17" t="s">
        <v>1324</v>
      </c>
      <c r="C1289" s="17" t="s">
        <v>1500</v>
      </c>
      <c r="D1289" s="18">
        <v>30</v>
      </c>
      <c r="E1289" s="18">
        <v>2.2999999999999998</v>
      </c>
      <c r="F1289" s="18">
        <v>2.76</v>
      </c>
      <c r="G1289" s="20" t="s">
        <v>1501</v>
      </c>
      <c r="H1289" s="19" t="str">
        <f>HYPERLINK("https://elefant.by/catalogue/151941020","Посмотреть на сайте ...")</f>
        <v>Посмотреть на сайте ...</v>
      </c>
    </row>
    <row r="1290" spans="1:8" s="16" customFormat="1" x14ac:dyDescent="0.25">
      <c r="A1290" s="17">
        <v>1280</v>
      </c>
      <c r="B1290" s="17" t="s">
        <v>1324</v>
      </c>
      <c r="C1290" s="17" t="s">
        <v>1502</v>
      </c>
      <c r="D1290" s="18">
        <v>30</v>
      </c>
      <c r="E1290" s="18">
        <v>2.2999999999999998</v>
      </c>
      <c r="F1290" s="18">
        <v>2.76</v>
      </c>
      <c r="G1290" s="20" t="s">
        <v>1503</v>
      </c>
      <c r="H1290" s="19" t="str">
        <f>HYPERLINK("https://elefant.by/catalogue/151903370","Посмотреть на сайте ...")</f>
        <v>Посмотреть на сайте ...</v>
      </c>
    </row>
    <row r="1291" spans="1:8" s="16" customFormat="1" x14ac:dyDescent="0.25">
      <c r="A1291" s="17">
        <v>1281</v>
      </c>
      <c r="B1291" s="17" t="s">
        <v>1324</v>
      </c>
      <c r="C1291" s="17" t="s">
        <v>3462</v>
      </c>
      <c r="D1291" s="18">
        <v>30</v>
      </c>
      <c r="E1291" s="18">
        <v>2.2999999999999998</v>
      </c>
      <c r="F1291" s="18">
        <v>2.76</v>
      </c>
      <c r="G1291" s="20" t="s">
        <v>4576</v>
      </c>
      <c r="H1291" s="19" t="str">
        <f>HYPERLINK("https://elefant.by/catalogue/151295805","Посмотреть на сайте ...")</f>
        <v>Посмотреть на сайте ...</v>
      </c>
    </row>
    <row r="1292" spans="1:8" s="16" customFormat="1" x14ac:dyDescent="0.25">
      <c r="A1292" s="17">
        <v>1282</v>
      </c>
      <c r="B1292" s="17" t="s">
        <v>9</v>
      </c>
      <c r="C1292" s="17" t="s">
        <v>3463</v>
      </c>
      <c r="D1292" s="18">
        <v>4</v>
      </c>
      <c r="E1292" s="18">
        <v>2.21</v>
      </c>
      <c r="F1292" s="18">
        <v>2.65</v>
      </c>
      <c r="G1292" s="20" t="s">
        <v>4577</v>
      </c>
      <c r="H1292" s="19" t="str">
        <f>HYPERLINK("https://elefant.by/catalogue/661335808","Посмотреть на сайте ...")</f>
        <v>Посмотреть на сайте ...</v>
      </c>
    </row>
    <row r="1293" spans="1:8" s="16" customFormat="1" x14ac:dyDescent="0.25">
      <c r="A1293" s="17">
        <v>1283</v>
      </c>
      <c r="B1293" s="17" t="s">
        <v>9</v>
      </c>
      <c r="C1293" s="17" t="s">
        <v>3464</v>
      </c>
      <c r="D1293" s="18">
        <v>4</v>
      </c>
      <c r="E1293" s="18">
        <v>2.21</v>
      </c>
      <c r="F1293" s="18">
        <v>2.65</v>
      </c>
      <c r="G1293" s="20" t="s">
        <v>4578</v>
      </c>
      <c r="H1293" s="19" t="str">
        <f>HYPERLINK("https://elefant.by/catalogue/659526909","Посмотреть на сайте ...")</f>
        <v>Посмотреть на сайте ...</v>
      </c>
    </row>
    <row r="1294" spans="1:8" s="16" customFormat="1" x14ac:dyDescent="0.25">
      <c r="A1294" s="17">
        <v>1284</v>
      </c>
      <c r="B1294" s="17" t="s">
        <v>9</v>
      </c>
      <c r="C1294" s="17" t="s">
        <v>3465</v>
      </c>
      <c r="D1294" s="18">
        <v>4</v>
      </c>
      <c r="E1294" s="18">
        <v>2.2599999999999998</v>
      </c>
      <c r="F1294" s="18">
        <v>2.71</v>
      </c>
      <c r="G1294" s="20" t="s">
        <v>4579</v>
      </c>
      <c r="H1294" s="19" t="str">
        <f>HYPERLINK("https://elefant.by/catalogue/653078700","Посмотреть на сайте ...")</f>
        <v>Посмотреть на сайте ...</v>
      </c>
    </row>
    <row r="1295" spans="1:8" s="16" customFormat="1" x14ac:dyDescent="0.25">
      <c r="A1295" s="17">
        <v>1285</v>
      </c>
      <c r="B1295" s="17" t="s">
        <v>63</v>
      </c>
      <c r="C1295" s="17" t="s">
        <v>3466</v>
      </c>
      <c r="D1295" s="18">
        <v>6</v>
      </c>
      <c r="E1295" s="18">
        <v>1.18</v>
      </c>
      <c r="F1295" s="18">
        <v>1.42</v>
      </c>
      <c r="G1295" s="20" t="s">
        <v>4580</v>
      </c>
      <c r="H1295" s="19" t="str">
        <f>HYPERLINK("https://elefant.by/catalogue/620060255","Посмотреть на сайте ...")</f>
        <v>Посмотреть на сайте ...</v>
      </c>
    </row>
    <row r="1296" spans="1:8" s="16" customFormat="1" x14ac:dyDescent="0.25">
      <c r="A1296" s="17">
        <v>1286</v>
      </c>
      <c r="B1296" s="17" t="s">
        <v>63</v>
      </c>
      <c r="C1296" s="17" t="s">
        <v>1504</v>
      </c>
      <c r="D1296" s="18">
        <v>6</v>
      </c>
      <c r="E1296" s="18">
        <v>1.18</v>
      </c>
      <c r="F1296" s="18">
        <v>1.42</v>
      </c>
      <c r="G1296" s="20" t="s">
        <v>1505</v>
      </c>
      <c r="H1296" s="19" t="str">
        <f>HYPERLINK("https://elefant.by/catalogue/572218326","Посмотреть на сайте ...")</f>
        <v>Посмотреть на сайте ...</v>
      </c>
    </row>
    <row r="1297" spans="1:8" s="16" customFormat="1" x14ac:dyDescent="0.25">
      <c r="A1297" s="17">
        <v>1287</v>
      </c>
      <c r="B1297" s="17" t="s">
        <v>63</v>
      </c>
      <c r="C1297" s="17" t="s">
        <v>1506</v>
      </c>
      <c r="D1297" s="18">
        <v>6</v>
      </c>
      <c r="E1297" s="18">
        <v>1.18</v>
      </c>
      <c r="F1297" s="18">
        <v>1.42</v>
      </c>
      <c r="G1297" s="20" t="s">
        <v>1507</v>
      </c>
      <c r="H1297" s="19" t="str">
        <f>HYPERLINK("https://elefant.by/catalogue/572218327","Посмотреть на сайте ...")</f>
        <v>Посмотреть на сайте ...</v>
      </c>
    </row>
    <row r="1298" spans="1:8" s="16" customFormat="1" x14ac:dyDescent="0.25">
      <c r="A1298" s="17">
        <v>1288</v>
      </c>
      <c r="B1298" s="17" t="s">
        <v>1324</v>
      </c>
      <c r="C1298" s="17" t="s">
        <v>1508</v>
      </c>
      <c r="D1298" s="18">
        <v>30</v>
      </c>
      <c r="E1298" s="18">
        <v>2.27</v>
      </c>
      <c r="F1298" s="18">
        <v>2.72</v>
      </c>
      <c r="G1298" s="20" t="s">
        <v>4581</v>
      </c>
      <c r="H1298" s="19" t="str">
        <f>HYPERLINK("https://elefant.by/catalogue/153048026","Посмотреть на сайте ...")</f>
        <v>Посмотреть на сайте ...</v>
      </c>
    </row>
    <row r="1299" spans="1:8" s="16" customFormat="1" x14ac:dyDescent="0.25">
      <c r="A1299" s="17">
        <v>1289</v>
      </c>
      <c r="B1299" s="17" t="s">
        <v>1324</v>
      </c>
      <c r="C1299" s="17" t="s">
        <v>1509</v>
      </c>
      <c r="D1299" s="18">
        <v>30</v>
      </c>
      <c r="E1299" s="18">
        <v>2.27</v>
      </c>
      <c r="F1299" s="18">
        <v>2.72</v>
      </c>
      <c r="G1299" s="20" t="s">
        <v>4582</v>
      </c>
      <c r="H1299" s="19" t="str">
        <f>HYPERLINK("https://elefant.by/catalogue/152864856","Посмотреть на сайте ...")</f>
        <v>Посмотреть на сайте ...</v>
      </c>
    </row>
    <row r="1300" spans="1:8" s="16" customFormat="1" x14ac:dyDescent="0.25">
      <c r="A1300" s="17">
        <v>1290</v>
      </c>
      <c r="B1300" s="17" t="s">
        <v>1324</v>
      </c>
      <c r="C1300" s="17" t="s">
        <v>1510</v>
      </c>
      <c r="D1300" s="18">
        <v>30</v>
      </c>
      <c r="E1300" s="18">
        <v>2.27</v>
      </c>
      <c r="F1300" s="18">
        <v>2.72</v>
      </c>
      <c r="G1300" s="20" t="s">
        <v>1511</v>
      </c>
      <c r="H1300" s="19" t="str">
        <f>HYPERLINK("https://elefant.by/catalogue/150653584","Посмотреть на сайте ...")</f>
        <v>Посмотреть на сайте ...</v>
      </c>
    </row>
    <row r="1301" spans="1:8" s="16" customFormat="1" x14ac:dyDescent="0.25">
      <c r="A1301" s="17">
        <v>1291</v>
      </c>
      <c r="B1301" s="17" t="s">
        <v>1324</v>
      </c>
      <c r="C1301" s="17" t="s">
        <v>1512</v>
      </c>
      <c r="D1301" s="18">
        <v>30</v>
      </c>
      <c r="E1301" s="18">
        <v>2.27</v>
      </c>
      <c r="F1301" s="18">
        <v>2.72</v>
      </c>
      <c r="G1301" s="20" t="s">
        <v>4583</v>
      </c>
      <c r="H1301" s="19" t="str">
        <f>HYPERLINK("https://elefant.by/catalogue/156480650","Посмотреть на сайте ...")</f>
        <v>Посмотреть на сайте ...</v>
      </c>
    </row>
    <row r="1302" spans="1:8" s="16" customFormat="1" x14ac:dyDescent="0.25">
      <c r="A1302" s="17">
        <v>1292</v>
      </c>
      <c r="B1302" s="17" t="s">
        <v>1324</v>
      </c>
      <c r="C1302" s="17" t="s">
        <v>3467</v>
      </c>
      <c r="D1302" s="18">
        <v>30</v>
      </c>
      <c r="E1302" s="18">
        <v>2.27</v>
      </c>
      <c r="F1302" s="18">
        <v>2.72</v>
      </c>
      <c r="G1302" s="20" t="s">
        <v>4584</v>
      </c>
      <c r="H1302" s="19" t="str">
        <f>HYPERLINK("https://elefant.by/catalogue/150653589","Посмотреть на сайте ...")</f>
        <v>Посмотреть на сайте ...</v>
      </c>
    </row>
    <row r="1303" spans="1:8" s="16" customFormat="1" x14ac:dyDescent="0.25">
      <c r="A1303" s="17">
        <v>1293</v>
      </c>
      <c r="B1303" s="17" t="s">
        <v>1324</v>
      </c>
      <c r="C1303" s="17" t="s">
        <v>3468</v>
      </c>
      <c r="D1303" s="18">
        <v>30</v>
      </c>
      <c r="E1303" s="18">
        <v>2.27</v>
      </c>
      <c r="F1303" s="18">
        <v>2.72</v>
      </c>
      <c r="G1303" s="20" t="s">
        <v>4585</v>
      </c>
      <c r="H1303" s="19" t="str">
        <f>HYPERLINK("https://elefant.by/catalogue/151679651","Посмотреть на сайте ...")</f>
        <v>Посмотреть на сайте ...</v>
      </c>
    </row>
    <row r="1304" spans="1:8" s="16" customFormat="1" x14ac:dyDescent="0.25">
      <c r="A1304" s="17">
        <v>1294</v>
      </c>
      <c r="B1304" s="17" t="s">
        <v>1324</v>
      </c>
      <c r="C1304" s="17" t="s">
        <v>3469</v>
      </c>
      <c r="D1304" s="18">
        <v>50</v>
      </c>
      <c r="E1304" s="18">
        <v>0.24</v>
      </c>
      <c r="F1304" s="18">
        <v>0.28999999999999998</v>
      </c>
      <c r="G1304" s="20" t="s">
        <v>1513</v>
      </c>
      <c r="H1304" s="19" t="str">
        <f>HYPERLINK("https://elefant.by/catalogue/147110812","Посмотреть на сайте ...")</f>
        <v>Посмотреть на сайте ...</v>
      </c>
    </row>
    <row r="1305" spans="1:8" s="16" customFormat="1" x14ac:dyDescent="0.25">
      <c r="A1305" s="17">
        <v>1295</v>
      </c>
      <c r="B1305" s="17" t="s">
        <v>12</v>
      </c>
      <c r="C1305" s="17" t="s">
        <v>3470</v>
      </c>
      <c r="D1305" s="18">
        <v>50</v>
      </c>
      <c r="E1305" s="18">
        <v>0.14000000000000001</v>
      </c>
      <c r="F1305" s="18">
        <v>0.17</v>
      </c>
      <c r="G1305" s="20" t="s">
        <v>4586</v>
      </c>
      <c r="H1305" s="19" t="str">
        <f>HYPERLINK("https://elefant.by/catalogue/697549736","Посмотреть на сайте ...")</f>
        <v>Посмотреть на сайте ...</v>
      </c>
    </row>
    <row r="1306" spans="1:8" s="16" customFormat="1" x14ac:dyDescent="0.25">
      <c r="A1306" s="17">
        <v>1296</v>
      </c>
      <c r="B1306" s="17" t="s">
        <v>1324</v>
      </c>
      <c r="C1306" s="17" t="s">
        <v>3471</v>
      </c>
      <c r="D1306" s="18">
        <v>50</v>
      </c>
      <c r="E1306" s="18">
        <v>0.15</v>
      </c>
      <c r="F1306" s="18">
        <v>0.18</v>
      </c>
      <c r="G1306" s="20" t="s">
        <v>1514</v>
      </c>
      <c r="H1306" s="19" t="str">
        <f>HYPERLINK("https://elefant.by/catalogue/163870742","Посмотреть на сайте ...")</f>
        <v>Посмотреть на сайте ...</v>
      </c>
    </row>
    <row r="1307" spans="1:8" s="16" customFormat="1" x14ac:dyDescent="0.25">
      <c r="A1307" s="17">
        <v>1297</v>
      </c>
      <c r="B1307" s="17" t="s">
        <v>11</v>
      </c>
      <c r="C1307" s="17" t="s">
        <v>3472</v>
      </c>
      <c r="D1307" s="18">
        <v>5</v>
      </c>
      <c r="E1307" s="18">
        <v>1.97</v>
      </c>
      <c r="F1307" s="18">
        <v>2.36</v>
      </c>
      <c r="G1307" s="20" t="s">
        <v>1515</v>
      </c>
      <c r="H1307" s="19" t="str">
        <f>HYPERLINK("https://elefant.by/catalogue/574201242","Посмотреть на сайте ...")</f>
        <v>Посмотреть на сайте ...</v>
      </c>
    </row>
    <row r="1308" spans="1:8" s="16" customFormat="1" x14ac:dyDescent="0.25">
      <c r="A1308" s="17">
        <v>1298</v>
      </c>
      <c r="B1308" s="17" t="s">
        <v>1324</v>
      </c>
      <c r="C1308" s="17" t="s">
        <v>3473</v>
      </c>
      <c r="D1308" s="18">
        <v>100</v>
      </c>
      <c r="E1308" s="18">
        <v>0.05</v>
      </c>
      <c r="F1308" s="18">
        <v>0.06</v>
      </c>
      <c r="G1308" s="20" t="s">
        <v>1516</v>
      </c>
      <c r="H1308" s="19" t="str">
        <f>HYPERLINK("https://elefant.by/catalogue/157471232","Посмотреть на сайте ...")</f>
        <v>Посмотреть на сайте ...</v>
      </c>
    </row>
    <row r="1309" spans="1:8" s="16" customFormat="1" x14ac:dyDescent="0.25">
      <c r="A1309" s="17">
        <v>1299</v>
      </c>
      <c r="B1309" s="17" t="s">
        <v>17</v>
      </c>
      <c r="C1309" s="17" t="s">
        <v>3474</v>
      </c>
      <c r="D1309" s="18">
        <v>100</v>
      </c>
      <c r="E1309" s="18">
        <v>0.04</v>
      </c>
      <c r="F1309" s="18">
        <v>0.05</v>
      </c>
      <c r="G1309" s="20" t="s">
        <v>1517</v>
      </c>
      <c r="H1309" s="19" t="str">
        <f>HYPERLINK("https://elefant.by/catalogue/523469527","Посмотреть на сайте ...")</f>
        <v>Посмотреть на сайте ...</v>
      </c>
    </row>
    <row r="1310" spans="1:8" s="16" customFormat="1" x14ac:dyDescent="0.25">
      <c r="A1310" s="17">
        <v>1300</v>
      </c>
      <c r="B1310" s="17" t="s">
        <v>12</v>
      </c>
      <c r="C1310" s="17" t="s">
        <v>3475</v>
      </c>
      <c r="D1310" s="18">
        <v>100</v>
      </c>
      <c r="E1310" s="18">
        <v>0.03</v>
      </c>
      <c r="F1310" s="18">
        <v>0.04</v>
      </c>
      <c r="G1310" s="20" t="s">
        <v>1518</v>
      </c>
      <c r="H1310" s="19" t="str">
        <f>HYPERLINK("https://elefant.by/catalogue/589067833","Посмотреть на сайте ...")</f>
        <v>Посмотреть на сайте ...</v>
      </c>
    </row>
    <row r="1311" spans="1:8" s="16" customFormat="1" x14ac:dyDescent="0.25">
      <c r="A1311" s="17">
        <v>1301</v>
      </c>
      <c r="B1311" s="17" t="s">
        <v>12</v>
      </c>
      <c r="C1311" s="17" t="s">
        <v>3476</v>
      </c>
      <c r="D1311" s="18">
        <v>100</v>
      </c>
      <c r="E1311" s="18">
        <v>0.05</v>
      </c>
      <c r="F1311" s="18">
        <v>0.06</v>
      </c>
      <c r="G1311" s="20" t="s">
        <v>1519</v>
      </c>
      <c r="H1311" s="19" t="str">
        <f>HYPERLINK("https://elefant.by/catalogue/652878627","Посмотреть на сайте ...")</f>
        <v>Посмотреть на сайте ...</v>
      </c>
    </row>
    <row r="1312" spans="1:8" s="16" customFormat="1" x14ac:dyDescent="0.25">
      <c r="A1312" s="17">
        <v>1302</v>
      </c>
      <c r="B1312" s="17" t="s">
        <v>1324</v>
      </c>
      <c r="C1312" s="17" t="s">
        <v>3477</v>
      </c>
      <c r="D1312" s="18">
        <v>100</v>
      </c>
      <c r="E1312" s="18">
        <v>7.0000000000000007E-2</v>
      </c>
      <c r="F1312" s="18">
        <v>0.08</v>
      </c>
      <c r="G1312" s="20" t="s">
        <v>1520</v>
      </c>
      <c r="H1312" s="19" t="str">
        <f>HYPERLINK("https://elefant.by/catalogue/151412678","Посмотреть на сайте ...")</f>
        <v>Посмотреть на сайте ...</v>
      </c>
    </row>
    <row r="1313" spans="1:8" s="16" customFormat="1" x14ac:dyDescent="0.25">
      <c r="A1313" s="17">
        <v>1303</v>
      </c>
      <c r="B1313" s="17" t="s">
        <v>1324</v>
      </c>
      <c r="C1313" s="17" t="s">
        <v>3478</v>
      </c>
      <c r="D1313" s="18">
        <v>100</v>
      </c>
      <c r="E1313" s="18">
        <v>0.08</v>
      </c>
      <c r="F1313" s="18">
        <v>0.1</v>
      </c>
      <c r="G1313" s="20" t="s">
        <v>1521</v>
      </c>
      <c r="H1313" s="19" t="str">
        <f>HYPERLINK("https://elefant.by/catalogue/151941028","Посмотреть на сайте ...")</f>
        <v>Посмотреть на сайте ...</v>
      </c>
    </row>
    <row r="1314" spans="1:8" s="16" customFormat="1" x14ac:dyDescent="0.25">
      <c r="A1314" s="17">
        <v>1304</v>
      </c>
      <c r="B1314" s="17" t="s">
        <v>1324</v>
      </c>
      <c r="C1314" s="17" t="s">
        <v>3479</v>
      </c>
      <c r="D1314" s="18">
        <v>100</v>
      </c>
      <c r="E1314" s="18">
        <v>0.06</v>
      </c>
      <c r="F1314" s="18">
        <v>7.0000000000000007E-2</v>
      </c>
      <c r="G1314" s="20" t="s">
        <v>1522</v>
      </c>
      <c r="H1314" s="19" t="str">
        <f>HYPERLINK("https://elefant.by/catalogue/147109981","Посмотреть на сайте ...")</f>
        <v>Посмотреть на сайте ...</v>
      </c>
    </row>
    <row r="1315" spans="1:8" s="16" customFormat="1" x14ac:dyDescent="0.25">
      <c r="A1315" s="17">
        <v>1305</v>
      </c>
      <c r="B1315" s="17" t="s">
        <v>9</v>
      </c>
      <c r="C1315" s="17" t="s">
        <v>3480</v>
      </c>
      <c r="D1315" s="18">
        <v>12</v>
      </c>
      <c r="E1315" s="18">
        <v>0.44</v>
      </c>
      <c r="F1315" s="18">
        <v>0.53</v>
      </c>
      <c r="G1315" s="20" t="s">
        <v>4587</v>
      </c>
      <c r="H1315" s="19" t="str">
        <f>HYPERLINK("https://elefant.by/catalogue/652657590","Посмотреть на сайте ...")</f>
        <v>Посмотреть на сайте ...</v>
      </c>
    </row>
    <row r="1316" spans="1:8" s="16" customFormat="1" x14ac:dyDescent="0.25">
      <c r="A1316" s="17">
        <v>1306</v>
      </c>
      <c r="B1316" s="17" t="s">
        <v>1324</v>
      </c>
      <c r="C1316" s="17" t="s">
        <v>1523</v>
      </c>
      <c r="D1316" s="18">
        <v>10</v>
      </c>
      <c r="E1316" s="18">
        <v>1.1200000000000001</v>
      </c>
      <c r="F1316" s="18">
        <v>1.34</v>
      </c>
      <c r="G1316" s="20" t="s">
        <v>1524</v>
      </c>
      <c r="H1316" s="19" t="str">
        <f>HYPERLINK("https://elefant.by/catalogue/398562364","Посмотреть на сайте ...")</f>
        <v>Посмотреть на сайте ...</v>
      </c>
    </row>
    <row r="1317" spans="1:8" s="16" customFormat="1" x14ac:dyDescent="0.25">
      <c r="A1317" s="17">
        <v>1307</v>
      </c>
      <c r="B1317" s="17" t="s">
        <v>1324</v>
      </c>
      <c r="C1317" s="17" t="s">
        <v>1525</v>
      </c>
      <c r="D1317" s="18">
        <v>10</v>
      </c>
      <c r="E1317" s="18">
        <v>1.1200000000000001</v>
      </c>
      <c r="F1317" s="18">
        <v>1.34</v>
      </c>
      <c r="G1317" s="20" t="s">
        <v>1526</v>
      </c>
      <c r="H1317" s="19" t="str">
        <f>HYPERLINK("https://elefant.by/catalogue/398562365","Посмотреть на сайте ...")</f>
        <v>Посмотреть на сайте ...</v>
      </c>
    </row>
    <row r="1318" spans="1:8" s="16" customFormat="1" x14ac:dyDescent="0.25">
      <c r="A1318" s="17">
        <v>1308</v>
      </c>
      <c r="B1318" s="17" t="s">
        <v>1324</v>
      </c>
      <c r="C1318" s="17" t="s">
        <v>1527</v>
      </c>
      <c r="D1318" s="18">
        <v>10</v>
      </c>
      <c r="E1318" s="18">
        <v>0.49</v>
      </c>
      <c r="F1318" s="18">
        <v>0.59</v>
      </c>
      <c r="G1318" s="20" t="s">
        <v>4588</v>
      </c>
      <c r="H1318" s="19" t="str">
        <f>HYPERLINK("https://elefant.by/catalogue/564385659","Посмотреть на сайте ...")</f>
        <v>Посмотреть на сайте ...</v>
      </c>
    </row>
    <row r="1319" spans="1:8" s="16" customFormat="1" x14ac:dyDescent="0.25">
      <c r="A1319" s="17">
        <v>1309</v>
      </c>
      <c r="B1319" s="17" t="s">
        <v>1324</v>
      </c>
      <c r="C1319" s="17" t="s">
        <v>1529</v>
      </c>
      <c r="D1319" s="18">
        <v>10</v>
      </c>
      <c r="E1319" s="18">
        <v>0.49</v>
      </c>
      <c r="F1319" s="18">
        <v>0.59</v>
      </c>
      <c r="G1319" s="20" t="s">
        <v>1528</v>
      </c>
      <c r="H1319" s="19" t="str">
        <f>HYPERLINK("https://elefant.by/catalogue/164829026","Посмотреть на сайте ...")</f>
        <v>Посмотреть на сайте ...</v>
      </c>
    </row>
    <row r="1320" spans="1:8" s="16" customFormat="1" x14ac:dyDescent="0.25">
      <c r="A1320" s="17">
        <v>1310</v>
      </c>
      <c r="B1320" s="17" t="s">
        <v>1324</v>
      </c>
      <c r="C1320" s="17" t="s">
        <v>1531</v>
      </c>
      <c r="D1320" s="18">
        <v>10</v>
      </c>
      <c r="E1320" s="18">
        <v>0.49</v>
      </c>
      <c r="F1320" s="18">
        <v>0.59</v>
      </c>
      <c r="G1320" s="20" t="s">
        <v>1530</v>
      </c>
      <c r="H1320" s="19" t="str">
        <f>HYPERLINK("https://elefant.by/catalogue/164829027","Посмотреть на сайте ...")</f>
        <v>Посмотреть на сайте ...</v>
      </c>
    </row>
    <row r="1321" spans="1:8" s="16" customFormat="1" x14ac:dyDescent="0.25">
      <c r="A1321" s="17">
        <v>1311</v>
      </c>
      <c r="B1321" s="17" t="s">
        <v>1324</v>
      </c>
      <c r="C1321" s="17" t="s">
        <v>1532</v>
      </c>
      <c r="D1321" s="18">
        <v>10</v>
      </c>
      <c r="E1321" s="18">
        <v>0.49</v>
      </c>
      <c r="F1321" s="18">
        <v>0.59</v>
      </c>
      <c r="G1321" s="20" t="s">
        <v>1533</v>
      </c>
      <c r="H1321" s="19" t="str">
        <f>HYPERLINK("https://elefant.by/catalogue/164829028","Посмотреть на сайте ...")</f>
        <v>Посмотреть на сайте ...</v>
      </c>
    </row>
    <row r="1322" spans="1:8" s="16" customFormat="1" x14ac:dyDescent="0.25">
      <c r="A1322" s="17">
        <v>1312</v>
      </c>
      <c r="B1322" s="17" t="s">
        <v>1324</v>
      </c>
      <c r="C1322" s="17" t="s">
        <v>1534</v>
      </c>
      <c r="D1322" s="18">
        <v>10</v>
      </c>
      <c r="E1322" s="18">
        <v>0.49</v>
      </c>
      <c r="F1322" s="18">
        <v>0.59</v>
      </c>
      <c r="G1322" s="20" t="s">
        <v>1535</v>
      </c>
      <c r="H1322" s="19" t="str">
        <f>HYPERLINK("https://elefant.by/catalogue/164829029","Посмотреть на сайте ...")</f>
        <v>Посмотреть на сайте ...</v>
      </c>
    </row>
    <row r="1323" spans="1:8" s="16" customFormat="1" x14ac:dyDescent="0.25">
      <c r="A1323" s="17">
        <v>1313</v>
      </c>
      <c r="B1323" s="17" t="s">
        <v>9</v>
      </c>
      <c r="C1323" s="17" t="s">
        <v>3481</v>
      </c>
      <c r="D1323" s="18">
        <v>10</v>
      </c>
      <c r="E1323" s="18">
        <v>0.6</v>
      </c>
      <c r="F1323" s="18">
        <v>0.72</v>
      </c>
      <c r="G1323" s="20" t="s">
        <v>4589</v>
      </c>
      <c r="H1323" s="19" t="str">
        <f>HYPERLINK("https://elefant.by/catalogue/696470455","Посмотреть на сайте ...")</f>
        <v>Посмотреть на сайте ...</v>
      </c>
    </row>
    <row r="1324" spans="1:8" s="16" customFormat="1" x14ac:dyDescent="0.25">
      <c r="A1324" s="17">
        <v>1314</v>
      </c>
      <c r="B1324" s="17" t="s">
        <v>12</v>
      </c>
      <c r="C1324" s="17" t="s">
        <v>3495</v>
      </c>
      <c r="D1324" s="18">
        <v>12</v>
      </c>
      <c r="E1324" s="18">
        <v>0.87</v>
      </c>
      <c r="F1324" s="18">
        <v>1.04</v>
      </c>
      <c r="G1324" s="20" t="s">
        <v>4603</v>
      </c>
      <c r="H1324" s="19" t="str">
        <f>HYPERLINK("https://elefant.by/catalogue/688553462","Посмотреть на сайте ...")</f>
        <v>Посмотреть на сайте ...</v>
      </c>
    </row>
    <row r="1325" spans="1:8" s="16" customFormat="1" x14ac:dyDescent="0.25">
      <c r="A1325" s="17">
        <v>1315</v>
      </c>
      <c r="B1325" s="17" t="s">
        <v>12</v>
      </c>
      <c r="C1325" s="17" t="s">
        <v>3496</v>
      </c>
      <c r="D1325" s="18">
        <v>12</v>
      </c>
      <c r="E1325" s="18">
        <v>0.87</v>
      </c>
      <c r="F1325" s="18">
        <v>1.04</v>
      </c>
      <c r="G1325" s="20" t="s">
        <v>4604</v>
      </c>
      <c r="H1325" s="19" t="str">
        <f>HYPERLINK("https://elefant.by/catalogue/688553463","Посмотреть на сайте ...")</f>
        <v>Посмотреть на сайте ...</v>
      </c>
    </row>
    <row r="1326" spans="1:8" s="16" customFormat="1" x14ac:dyDescent="0.25">
      <c r="A1326" s="17">
        <v>1316</v>
      </c>
      <c r="B1326" s="17" t="s">
        <v>12</v>
      </c>
      <c r="C1326" s="17" t="s">
        <v>3497</v>
      </c>
      <c r="D1326" s="18">
        <v>12</v>
      </c>
      <c r="E1326" s="18">
        <v>1.65</v>
      </c>
      <c r="F1326" s="18">
        <v>1.98</v>
      </c>
      <c r="G1326" s="20" t="s">
        <v>4605</v>
      </c>
      <c r="H1326" s="19" t="str">
        <f>HYPERLINK("https://elefant.by/catalogue/675864357","Посмотреть на сайте ...")</f>
        <v>Посмотреть на сайте ...</v>
      </c>
    </row>
    <row r="1327" spans="1:8" s="16" customFormat="1" x14ac:dyDescent="0.25">
      <c r="A1327" s="17">
        <v>1317</v>
      </c>
      <c r="B1327" s="17" t="s">
        <v>12</v>
      </c>
      <c r="C1327" s="17" t="s">
        <v>3498</v>
      </c>
      <c r="D1327" s="18">
        <v>12</v>
      </c>
      <c r="E1327" s="18">
        <v>1.65</v>
      </c>
      <c r="F1327" s="18">
        <v>1.98</v>
      </c>
      <c r="G1327" s="20" t="s">
        <v>4606</v>
      </c>
      <c r="H1327" s="19" t="str">
        <f>HYPERLINK("https://elefant.by/catalogue/675864358","Посмотреть на сайте ...")</f>
        <v>Посмотреть на сайте ...</v>
      </c>
    </row>
    <row r="1328" spans="1:8" s="16" customFormat="1" x14ac:dyDescent="0.25">
      <c r="A1328" s="17">
        <v>1318</v>
      </c>
      <c r="B1328" s="17" t="s">
        <v>12</v>
      </c>
      <c r="C1328" s="17" t="s">
        <v>3499</v>
      </c>
      <c r="D1328" s="18">
        <v>12</v>
      </c>
      <c r="E1328" s="18">
        <v>1.65</v>
      </c>
      <c r="F1328" s="18">
        <v>1.98</v>
      </c>
      <c r="G1328" s="20" t="s">
        <v>4607</v>
      </c>
      <c r="H1328" s="19" t="str">
        <f>HYPERLINK("https://elefant.by/catalogue/675864359","Посмотреть на сайте ...")</f>
        <v>Посмотреть на сайте ...</v>
      </c>
    </row>
    <row r="1329" spans="1:8" s="16" customFormat="1" x14ac:dyDescent="0.25">
      <c r="A1329" s="17">
        <v>1319</v>
      </c>
      <c r="B1329" s="17" t="s">
        <v>12</v>
      </c>
      <c r="C1329" s="17" t="s">
        <v>3500</v>
      </c>
      <c r="D1329" s="18">
        <v>12</v>
      </c>
      <c r="E1329" s="18">
        <v>2.06</v>
      </c>
      <c r="F1329" s="18">
        <v>2.4700000000000002</v>
      </c>
      <c r="G1329" s="20" t="s">
        <v>4608</v>
      </c>
      <c r="H1329" s="19" t="str">
        <f>HYPERLINK("https://elefant.by/catalogue/656071487","Посмотреть на сайте ...")</f>
        <v>Посмотреть на сайте ...</v>
      </c>
    </row>
    <row r="1330" spans="1:8" s="16" customFormat="1" x14ac:dyDescent="0.25">
      <c r="A1330" s="17">
        <v>1320</v>
      </c>
      <c r="B1330" s="17" t="s">
        <v>12</v>
      </c>
      <c r="C1330" s="17" t="s">
        <v>3501</v>
      </c>
      <c r="D1330" s="18">
        <v>12</v>
      </c>
      <c r="E1330" s="18">
        <v>0.82</v>
      </c>
      <c r="F1330" s="18">
        <v>0.98</v>
      </c>
      <c r="G1330" s="20" t="s">
        <v>4609</v>
      </c>
      <c r="H1330" s="19" t="str">
        <f>HYPERLINK("https://elefant.by/catalogue/663172789","Посмотреть на сайте ...")</f>
        <v>Посмотреть на сайте ...</v>
      </c>
    </row>
    <row r="1331" spans="1:8" s="16" customFormat="1" x14ac:dyDescent="0.25">
      <c r="A1331" s="17">
        <v>1321</v>
      </c>
      <c r="B1331" s="17" t="s">
        <v>12</v>
      </c>
      <c r="C1331" s="17" t="s">
        <v>3502</v>
      </c>
      <c r="D1331" s="18">
        <v>12</v>
      </c>
      <c r="E1331" s="18">
        <v>0.82</v>
      </c>
      <c r="F1331" s="18">
        <v>0.98</v>
      </c>
      <c r="G1331" s="20"/>
      <c r="H1331" s="19" t="str">
        <f>HYPERLINK("https://elefant.by/catalogue/692663885","Посмотреть на сайте ...")</f>
        <v>Посмотреть на сайте ...</v>
      </c>
    </row>
    <row r="1332" spans="1:8" s="16" customFormat="1" x14ac:dyDescent="0.25">
      <c r="A1332" s="17">
        <v>1322</v>
      </c>
      <c r="B1332" s="17" t="s">
        <v>12</v>
      </c>
      <c r="C1332" s="17" t="s">
        <v>3503</v>
      </c>
      <c r="D1332" s="18">
        <v>12</v>
      </c>
      <c r="E1332" s="18">
        <v>0.82</v>
      </c>
      <c r="F1332" s="18">
        <v>0.98</v>
      </c>
      <c r="G1332" s="20" t="s">
        <v>4610</v>
      </c>
      <c r="H1332" s="19" t="str">
        <f>HYPERLINK("https://elefant.by/catalogue/678459691","Посмотреть на сайте ...")</f>
        <v>Посмотреть на сайте ...</v>
      </c>
    </row>
    <row r="1333" spans="1:8" s="16" customFormat="1" x14ac:dyDescent="0.25">
      <c r="A1333" s="17">
        <v>1323</v>
      </c>
      <c r="B1333" s="17" t="s">
        <v>12</v>
      </c>
      <c r="C1333" s="17" t="s">
        <v>3504</v>
      </c>
      <c r="D1333" s="18">
        <v>12</v>
      </c>
      <c r="E1333" s="18">
        <v>0.82</v>
      </c>
      <c r="F1333" s="18">
        <v>0.98</v>
      </c>
      <c r="G1333" s="20" t="s">
        <v>4611</v>
      </c>
      <c r="H1333" s="19" t="str">
        <f>HYPERLINK("https://elefant.by/catalogue/661172546","Посмотреть на сайте ...")</f>
        <v>Посмотреть на сайте ...</v>
      </c>
    </row>
    <row r="1334" spans="1:8" s="16" customFormat="1" x14ac:dyDescent="0.25">
      <c r="A1334" s="17">
        <v>1324</v>
      </c>
      <c r="B1334" s="17" t="s">
        <v>12</v>
      </c>
      <c r="C1334" s="17" t="s">
        <v>3505</v>
      </c>
      <c r="D1334" s="18">
        <v>12</v>
      </c>
      <c r="E1334" s="18">
        <v>0.82</v>
      </c>
      <c r="F1334" s="18">
        <v>0.98</v>
      </c>
      <c r="G1334" s="20" t="s">
        <v>4612</v>
      </c>
      <c r="H1334" s="19" t="str">
        <f>HYPERLINK("https://elefant.by/catalogue/689488383","Посмотреть на сайте ...")</f>
        <v>Посмотреть на сайте ...</v>
      </c>
    </row>
    <row r="1335" spans="1:8" s="16" customFormat="1" x14ac:dyDescent="0.25">
      <c r="A1335" s="17">
        <v>1325</v>
      </c>
      <c r="B1335" s="17" t="s">
        <v>12</v>
      </c>
      <c r="C1335" s="17" t="s">
        <v>3506</v>
      </c>
      <c r="D1335" s="18">
        <v>12</v>
      </c>
      <c r="E1335" s="18">
        <v>0.82</v>
      </c>
      <c r="F1335" s="18">
        <v>0.98</v>
      </c>
      <c r="G1335" s="20" t="s">
        <v>4613</v>
      </c>
      <c r="H1335" s="19" t="str">
        <f>HYPERLINK("https://elefant.by/catalogue/680607290","Посмотреть на сайте ...")</f>
        <v>Посмотреть на сайте ...</v>
      </c>
    </row>
    <row r="1336" spans="1:8" s="16" customFormat="1" x14ac:dyDescent="0.25">
      <c r="A1336" s="17">
        <v>1326</v>
      </c>
      <c r="B1336" s="17" t="s">
        <v>12</v>
      </c>
      <c r="C1336" s="17" t="s">
        <v>3507</v>
      </c>
      <c r="D1336" s="18">
        <v>12</v>
      </c>
      <c r="E1336" s="18">
        <v>0.82</v>
      </c>
      <c r="F1336" s="18">
        <v>0.98</v>
      </c>
      <c r="G1336" s="20" t="s">
        <v>4614</v>
      </c>
      <c r="H1336" s="19" t="str">
        <f>HYPERLINK("https://elefant.by/catalogue/689488381","Посмотреть на сайте ...")</f>
        <v>Посмотреть на сайте ...</v>
      </c>
    </row>
    <row r="1337" spans="1:8" s="16" customFormat="1" x14ac:dyDescent="0.25">
      <c r="A1337" s="17">
        <v>1327</v>
      </c>
      <c r="B1337" s="17" t="s">
        <v>12</v>
      </c>
      <c r="C1337" s="17" t="s">
        <v>3508</v>
      </c>
      <c r="D1337" s="18">
        <v>12</v>
      </c>
      <c r="E1337" s="18">
        <v>0.82</v>
      </c>
      <c r="F1337" s="18">
        <v>0.98</v>
      </c>
      <c r="G1337" s="20" t="s">
        <v>4615</v>
      </c>
      <c r="H1337" s="19" t="str">
        <f>HYPERLINK("https://elefant.by/catalogue/670580232","Посмотреть на сайте ...")</f>
        <v>Посмотреть на сайте ...</v>
      </c>
    </row>
    <row r="1338" spans="1:8" s="16" customFormat="1" x14ac:dyDescent="0.25">
      <c r="A1338" s="17">
        <v>1328</v>
      </c>
      <c r="B1338" s="17" t="s">
        <v>12</v>
      </c>
      <c r="C1338" s="17" t="s">
        <v>3509</v>
      </c>
      <c r="D1338" s="18">
        <v>12</v>
      </c>
      <c r="E1338" s="18">
        <v>0.82</v>
      </c>
      <c r="F1338" s="18">
        <v>0.98</v>
      </c>
      <c r="G1338" s="20" t="s">
        <v>4616</v>
      </c>
      <c r="H1338" s="19" t="str">
        <f>HYPERLINK("https://elefant.by/catalogue/680607291","Посмотреть на сайте ...")</f>
        <v>Посмотреть на сайте ...</v>
      </c>
    </row>
    <row r="1339" spans="1:8" s="16" customFormat="1" x14ac:dyDescent="0.25">
      <c r="A1339" s="17">
        <v>1329</v>
      </c>
      <c r="B1339" s="17" t="s">
        <v>12</v>
      </c>
      <c r="C1339" s="17" t="s">
        <v>3510</v>
      </c>
      <c r="D1339" s="18">
        <v>12</v>
      </c>
      <c r="E1339" s="18">
        <v>0.82</v>
      </c>
      <c r="F1339" s="18">
        <v>0.98</v>
      </c>
      <c r="G1339" s="20" t="s">
        <v>4617</v>
      </c>
      <c r="H1339" s="19" t="str">
        <f>HYPERLINK("https://elefant.by/catalogue/667319649","Посмотреть на сайте ...")</f>
        <v>Посмотреть на сайте ...</v>
      </c>
    </row>
    <row r="1340" spans="1:8" s="16" customFormat="1" x14ac:dyDescent="0.25">
      <c r="A1340" s="17">
        <v>1330</v>
      </c>
      <c r="B1340" s="17" t="s">
        <v>12</v>
      </c>
      <c r="C1340" s="17" t="s">
        <v>3511</v>
      </c>
      <c r="D1340" s="18">
        <v>12</v>
      </c>
      <c r="E1340" s="18">
        <v>0.82</v>
      </c>
      <c r="F1340" s="18">
        <v>0.98</v>
      </c>
      <c r="G1340" s="20" t="s">
        <v>4618</v>
      </c>
      <c r="H1340" s="19" t="str">
        <f>HYPERLINK("https://elefant.by/catalogue/689488382","Посмотреть на сайте ...")</f>
        <v>Посмотреть на сайте ...</v>
      </c>
    </row>
    <row r="1341" spans="1:8" s="16" customFormat="1" x14ac:dyDescent="0.25">
      <c r="A1341" s="17">
        <v>1331</v>
      </c>
      <c r="B1341" s="17" t="s">
        <v>12</v>
      </c>
      <c r="C1341" s="17" t="s">
        <v>3512</v>
      </c>
      <c r="D1341" s="18">
        <v>12</v>
      </c>
      <c r="E1341" s="18">
        <v>0.82</v>
      </c>
      <c r="F1341" s="18">
        <v>0.98</v>
      </c>
      <c r="G1341" s="20" t="s">
        <v>4619</v>
      </c>
      <c r="H1341" s="19" t="str">
        <f>HYPERLINK("https://elefant.by/catalogue/675864375","Посмотреть на сайте ...")</f>
        <v>Посмотреть на сайте ...</v>
      </c>
    </row>
    <row r="1342" spans="1:8" s="16" customFormat="1" x14ac:dyDescent="0.25">
      <c r="A1342" s="17">
        <v>1332</v>
      </c>
      <c r="B1342" s="17" t="s">
        <v>12</v>
      </c>
      <c r="C1342" s="17" t="s">
        <v>3513</v>
      </c>
      <c r="D1342" s="18">
        <v>12</v>
      </c>
      <c r="E1342" s="18">
        <v>0.82</v>
      </c>
      <c r="F1342" s="18">
        <v>0.98</v>
      </c>
      <c r="G1342" s="20" t="s">
        <v>4620</v>
      </c>
      <c r="H1342" s="19" t="str">
        <f>HYPERLINK("https://elefant.by/catalogue/689488380","Посмотреть на сайте ...")</f>
        <v>Посмотреть на сайте ...</v>
      </c>
    </row>
    <row r="1343" spans="1:8" s="16" customFormat="1" x14ac:dyDescent="0.25">
      <c r="A1343" s="17">
        <v>1333</v>
      </c>
      <c r="B1343" s="17" t="s">
        <v>9</v>
      </c>
      <c r="C1343" s="17" t="s">
        <v>3482</v>
      </c>
      <c r="D1343" s="18">
        <v>12</v>
      </c>
      <c r="E1343" s="18">
        <v>0.57999999999999996</v>
      </c>
      <c r="F1343" s="18">
        <v>0.7</v>
      </c>
      <c r="G1343" s="20" t="s">
        <v>4590</v>
      </c>
      <c r="H1343" s="19" t="str">
        <f>HYPERLINK("https://elefant.by/catalogue/654798179","Посмотреть на сайте ...")</f>
        <v>Посмотреть на сайте ...</v>
      </c>
    </row>
    <row r="1344" spans="1:8" s="16" customFormat="1" x14ac:dyDescent="0.25">
      <c r="A1344" s="17">
        <v>1334</v>
      </c>
      <c r="B1344" s="17" t="s">
        <v>9</v>
      </c>
      <c r="C1344" s="17" t="s">
        <v>3483</v>
      </c>
      <c r="D1344" s="18">
        <v>12</v>
      </c>
      <c r="E1344" s="18">
        <v>0.56999999999999995</v>
      </c>
      <c r="F1344" s="18">
        <v>0.68</v>
      </c>
      <c r="G1344" s="20" t="s">
        <v>4591</v>
      </c>
      <c r="H1344" s="19" t="str">
        <f>HYPERLINK("https://elefant.by/catalogue/654798180","Посмотреть на сайте ...")</f>
        <v>Посмотреть на сайте ...</v>
      </c>
    </row>
    <row r="1345" spans="1:8" s="16" customFormat="1" x14ac:dyDescent="0.25">
      <c r="A1345" s="17">
        <v>1335</v>
      </c>
      <c r="B1345" s="17" t="s">
        <v>9</v>
      </c>
      <c r="C1345" s="17" t="s">
        <v>3484</v>
      </c>
      <c r="D1345" s="18">
        <v>12</v>
      </c>
      <c r="E1345" s="18">
        <v>0.56999999999999995</v>
      </c>
      <c r="F1345" s="18">
        <v>0.68</v>
      </c>
      <c r="G1345" s="20" t="s">
        <v>4592</v>
      </c>
      <c r="H1345" s="19" t="str">
        <f>HYPERLINK("https://elefant.by/catalogue/656622147","Посмотреть на сайте ...")</f>
        <v>Посмотреть на сайте ...</v>
      </c>
    </row>
    <row r="1346" spans="1:8" s="16" customFormat="1" x14ac:dyDescent="0.25">
      <c r="A1346" s="17">
        <v>1336</v>
      </c>
      <c r="B1346" s="17" t="s">
        <v>9</v>
      </c>
      <c r="C1346" s="17" t="s">
        <v>3485</v>
      </c>
      <c r="D1346" s="18">
        <v>12</v>
      </c>
      <c r="E1346" s="18">
        <v>0.56999999999999995</v>
      </c>
      <c r="F1346" s="18">
        <v>0.68</v>
      </c>
      <c r="G1346" s="20" t="s">
        <v>4593</v>
      </c>
      <c r="H1346" s="19" t="str">
        <f>HYPERLINK("https://elefant.by/catalogue/661335824","Посмотреть на сайте ...")</f>
        <v>Посмотреть на сайте ...</v>
      </c>
    </row>
    <row r="1347" spans="1:8" s="16" customFormat="1" x14ac:dyDescent="0.25">
      <c r="A1347" s="17">
        <v>1337</v>
      </c>
      <c r="B1347" s="17" t="s">
        <v>9</v>
      </c>
      <c r="C1347" s="17" t="s">
        <v>3486</v>
      </c>
      <c r="D1347" s="18">
        <v>12</v>
      </c>
      <c r="E1347" s="18">
        <v>0.56999999999999995</v>
      </c>
      <c r="F1347" s="18">
        <v>0.68</v>
      </c>
      <c r="G1347" s="20" t="s">
        <v>4594</v>
      </c>
      <c r="H1347" s="19" t="str">
        <f>HYPERLINK("https://elefant.by/catalogue/656622148","Посмотреть на сайте ...")</f>
        <v>Посмотреть на сайте ...</v>
      </c>
    </row>
    <row r="1348" spans="1:8" s="16" customFormat="1" x14ac:dyDescent="0.25">
      <c r="A1348" s="17">
        <v>1338</v>
      </c>
      <c r="B1348" s="17" t="s">
        <v>9</v>
      </c>
      <c r="C1348" s="17" t="s">
        <v>3487</v>
      </c>
      <c r="D1348" s="18">
        <v>12</v>
      </c>
      <c r="E1348" s="18">
        <v>0.56000000000000005</v>
      </c>
      <c r="F1348" s="18">
        <v>0.67</v>
      </c>
      <c r="G1348" s="20" t="s">
        <v>4595</v>
      </c>
      <c r="H1348" s="19" t="str">
        <f>HYPERLINK("https://elefant.by/catalogue/680985139","Посмотреть на сайте ...")</f>
        <v>Посмотреть на сайте ...</v>
      </c>
    </row>
    <row r="1349" spans="1:8" s="16" customFormat="1" x14ac:dyDescent="0.25">
      <c r="A1349" s="17">
        <v>1339</v>
      </c>
      <c r="B1349" s="17" t="s">
        <v>9</v>
      </c>
      <c r="C1349" s="17" t="s">
        <v>3488</v>
      </c>
      <c r="D1349" s="18">
        <v>12</v>
      </c>
      <c r="E1349" s="18">
        <v>0.75</v>
      </c>
      <c r="F1349" s="18">
        <v>0.9</v>
      </c>
      <c r="G1349" s="20" t="s">
        <v>4596</v>
      </c>
      <c r="H1349" s="19" t="str">
        <f>HYPERLINK("https://elefant.by/catalogue/694868264","Посмотреть на сайте ...")</f>
        <v>Посмотреть на сайте ...</v>
      </c>
    </row>
    <row r="1350" spans="1:8" s="16" customFormat="1" x14ac:dyDescent="0.25">
      <c r="A1350" s="17">
        <v>1340</v>
      </c>
      <c r="B1350" s="17" t="s">
        <v>9</v>
      </c>
      <c r="C1350" s="17" t="s">
        <v>3489</v>
      </c>
      <c r="D1350" s="18">
        <v>12</v>
      </c>
      <c r="E1350" s="18">
        <v>0.63</v>
      </c>
      <c r="F1350" s="18">
        <v>0.76</v>
      </c>
      <c r="G1350" s="20" t="s">
        <v>4597</v>
      </c>
      <c r="H1350" s="19" t="str">
        <f>HYPERLINK("https://elefant.by/catalogue/699663255","Посмотреть на сайте ...")</f>
        <v>Посмотреть на сайте ...</v>
      </c>
    </row>
    <row r="1351" spans="1:8" s="16" customFormat="1" x14ac:dyDescent="0.25">
      <c r="A1351" s="17">
        <v>1341</v>
      </c>
      <c r="B1351" s="17" t="s">
        <v>9</v>
      </c>
      <c r="C1351" s="17" t="s">
        <v>3490</v>
      </c>
      <c r="D1351" s="18">
        <v>12</v>
      </c>
      <c r="E1351" s="18">
        <v>0.56999999999999995</v>
      </c>
      <c r="F1351" s="18">
        <v>0.68</v>
      </c>
      <c r="G1351" s="20" t="s">
        <v>4598</v>
      </c>
      <c r="H1351" s="19" t="str">
        <f>HYPERLINK("https://elefant.by/catalogue/679122320","Посмотреть на сайте ...")</f>
        <v>Посмотреть на сайте ...</v>
      </c>
    </row>
    <row r="1352" spans="1:8" s="16" customFormat="1" x14ac:dyDescent="0.25">
      <c r="A1352" s="17">
        <v>1342</v>
      </c>
      <c r="B1352" s="17" t="s">
        <v>9</v>
      </c>
      <c r="C1352" s="17" t="s">
        <v>3491</v>
      </c>
      <c r="D1352" s="18">
        <v>12</v>
      </c>
      <c r="E1352" s="18">
        <v>0.56999999999999995</v>
      </c>
      <c r="F1352" s="18">
        <v>0.68</v>
      </c>
      <c r="G1352" s="20" t="s">
        <v>4599</v>
      </c>
      <c r="H1352" s="19" t="str">
        <f>HYPERLINK("https://elefant.by/catalogue/658778855","Посмотреть на сайте ...")</f>
        <v>Посмотреть на сайте ...</v>
      </c>
    </row>
    <row r="1353" spans="1:8" s="16" customFormat="1" x14ac:dyDescent="0.25">
      <c r="A1353" s="17">
        <v>1343</v>
      </c>
      <c r="B1353" s="17" t="s">
        <v>9</v>
      </c>
      <c r="C1353" s="17" t="s">
        <v>3492</v>
      </c>
      <c r="D1353" s="18">
        <v>12</v>
      </c>
      <c r="E1353" s="18">
        <v>0.56999999999999995</v>
      </c>
      <c r="F1353" s="18">
        <v>0.68</v>
      </c>
      <c r="G1353" s="20" t="s">
        <v>4600</v>
      </c>
      <c r="H1353" s="19" t="str">
        <f>HYPERLINK("https://elefant.by/catalogue/648834381","Посмотреть на сайте ...")</f>
        <v>Посмотреть на сайте ...</v>
      </c>
    </row>
    <row r="1354" spans="1:8" s="16" customFormat="1" x14ac:dyDescent="0.25">
      <c r="A1354" s="17">
        <v>1344</v>
      </c>
      <c r="B1354" s="17" t="s">
        <v>9</v>
      </c>
      <c r="C1354" s="17" t="s">
        <v>3493</v>
      </c>
      <c r="D1354" s="18">
        <v>12</v>
      </c>
      <c r="E1354" s="18">
        <v>0.56999999999999995</v>
      </c>
      <c r="F1354" s="18">
        <v>0.68</v>
      </c>
      <c r="G1354" s="20" t="s">
        <v>4601</v>
      </c>
      <c r="H1354" s="19" t="str">
        <f>HYPERLINK("https://elefant.by/catalogue/658778856","Посмотреть на сайте ...")</f>
        <v>Посмотреть на сайте ...</v>
      </c>
    </row>
    <row r="1355" spans="1:8" s="16" customFormat="1" x14ac:dyDescent="0.25">
      <c r="A1355" s="17">
        <v>1345</v>
      </c>
      <c r="B1355" s="17" t="s">
        <v>9</v>
      </c>
      <c r="C1355" s="17" t="s">
        <v>3494</v>
      </c>
      <c r="D1355" s="18">
        <v>12</v>
      </c>
      <c r="E1355" s="18">
        <v>1.27</v>
      </c>
      <c r="F1355" s="18">
        <v>1.52</v>
      </c>
      <c r="G1355" s="20" t="s">
        <v>4602</v>
      </c>
      <c r="H1355" s="19" t="str">
        <f>HYPERLINK("https://elefant.by/catalogue/648834379","Посмотреть на сайте ...")</f>
        <v>Посмотреть на сайте ...</v>
      </c>
    </row>
    <row r="1356" spans="1:8" s="16" customFormat="1" x14ac:dyDescent="0.25">
      <c r="A1356" s="17">
        <v>1346</v>
      </c>
      <c r="B1356" s="17" t="s">
        <v>1324</v>
      </c>
      <c r="C1356" s="17" t="s">
        <v>1536</v>
      </c>
      <c r="D1356" s="18">
        <v>10</v>
      </c>
      <c r="E1356" s="18">
        <v>0.64</v>
      </c>
      <c r="F1356" s="18">
        <v>0.77</v>
      </c>
      <c r="G1356" s="20" t="s">
        <v>1537</v>
      </c>
      <c r="H1356" s="19" t="str">
        <f>HYPERLINK("https://elefant.by/catalogue/150088257","Посмотреть на сайте ...")</f>
        <v>Посмотреть на сайте ...</v>
      </c>
    </row>
    <row r="1357" spans="1:8" s="16" customFormat="1" x14ac:dyDescent="0.25">
      <c r="A1357" s="17">
        <v>1347</v>
      </c>
      <c r="B1357" s="17" t="s">
        <v>1324</v>
      </c>
      <c r="C1357" s="17" t="s">
        <v>1538</v>
      </c>
      <c r="D1357" s="18">
        <v>10</v>
      </c>
      <c r="E1357" s="18">
        <v>0.64</v>
      </c>
      <c r="F1357" s="18">
        <v>0.77</v>
      </c>
      <c r="G1357" s="20" t="s">
        <v>1539</v>
      </c>
      <c r="H1357" s="19" t="str">
        <f>HYPERLINK("https://elefant.by/catalogue/148843205","Посмотреть на сайте ...")</f>
        <v>Посмотреть на сайте ...</v>
      </c>
    </row>
    <row r="1358" spans="1:8" s="16" customFormat="1" x14ac:dyDescent="0.25">
      <c r="A1358" s="17">
        <v>1348</v>
      </c>
      <c r="B1358" s="17" t="s">
        <v>1324</v>
      </c>
      <c r="C1358" s="17" t="s">
        <v>1540</v>
      </c>
      <c r="D1358" s="18">
        <v>10</v>
      </c>
      <c r="E1358" s="18">
        <v>0.64</v>
      </c>
      <c r="F1358" s="18">
        <v>0.77</v>
      </c>
      <c r="G1358" s="20" t="s">
        <v>1541</v>
      </c>
      <c r="H1358" s="19" t="str">
        <f>HYPERLINK("https://elefant.by/catalogue/148843206","Посмотреть на сайте ...")</f>
        <v>Посмотреть на сайте ...</v>
      </c>
    </row>
    <row r="1359" spans="1:8" s="16" customFormat="1" x14ac:dyDescent="0.25">
      <c r="A1359" s="17">
        <v>1349</v>
      </c>
      <c r="B1359" s="17" t="s">
        <v>1324</v>
      </c>
      <c r="C1359" s="17" t="s">
        <v>1542</v>
      </c>
      <c r="D1359" s="18">
        <v>10</v>
      </c>
      <c r="E1359" s="18">
        <v>0.64</v>
      </c>
      <c r="F1359" s="18">
        <v>0.77</v>
      </c>
      <c r="G1359" s="20" t="s">
        <v>1543</v>
      </c>
      <c r="H1359" s="19" t="str">
        <f>HYPERLINK("https://elefant.by/catalogue/148843207","Посмотреть на сайте ...")</f>
        <v>Посмотреть на сайте ...</v>
      </c>
    </row>
    <row r="1360" spans="1:8" s="16" customFormat="1" x14ac:dyDescent="0.25">
      <c r="A1360" s="17">
        <v>1350</v>
      </c>
      <c r="B1360" s="17" t="s">
        <v>1324</v>
      </c>
      <c r="C1360" s="17" t="s">
        <v>3514</v>
      </c>
      <c r="D1360" s="18">
        <v>10</v>
      </c>
      <c r="E1360" s="18">
        <v>0.64</v>
      </c>
      <c r="F1360" s="18">
        <v>0.77</v>
      </c>
      <c r="G1360" s="20"/>
      <c r="H1360" s="19" t="str">
        <f>HYPERLINK("https://elefant.by/catalogue/217328137","Посмотреть на сайте ...")</f>
        <v>Посмотреть на сайте ...</v>
      </c>
    </row>
    <row r="1361" spans="1:8" s="16" customFormat="1" x14ac:dyDescent="0.25">
      <c r="A1361" s="17">
        <v>1351</v>
      </c>
      <c r="B1361" s="17" t="s">
        <v>1324</v>
      </c>
      <c r="C1361" s="17" t="s">
        <v>1544</v>
      </c>
      <c r="D1361" s="18">
        <v>10</v>
      </c>
      <c r="E1361" s="18">
        <v>0.64</v>
      </c>
      <c r="F1361" s="18">
        <v>0.77</v>
      </c>
      <c r="G1361" s="20" t="s">
        <v>1545</v>
      </c>
      <c r="H1361" s="19" t="str">
        <f>HYPERLINK("https://elefant.by/catalogue/148843208","Посмотреть на сайте ...")</f>
        <v>Посмотреть на сайте ...</v>
      </c>
    </row>
    <row r="1362" spans="1:8" s="16" customFormat="1" x14ac:dyDescent="0.25">
      <c r="A1362" s="17">
        <v>1352</v>
      </c>
      <c r="B1362" s="17" t="s">
        <v>12</v>
      </c>
      <c r="C1362" s="17" t="s">
        <v>3515</v>
      </c>
      <c r="D1362" s="18">
        <v>12</v>
      </c>
      <c r="E1362" s="18">
        <v>0.59</v>
      </c>
      <c r="F1362" s="18">
        <v>0.71</v>
      </c>
      <c r="G1362" s="20" t="s">
        <v>4621</v>
      </c>
      <c r="H1362" s="19" t="str">
        <f>HYPERLINK("https://elefant.by/catalogue/698790692","Посмотреть на сайте ...")</f>
        <v>Посмотреть на сайте ...</v>
      </c>
    </row>
    <row r="1363" spans="1:8" s="16" customFormat="1" x14ac:dyDescent="0.25">
      <c r="A1363" s="17">
        <v>1353</v>
      </c>
      <c r="B1363" s="17" t="s">
        <v>12</v>
      </c>
      <c r="C1363" s="17" t="s">
        <v>3516</v>
      </c>
      <c r="D1363" s="18">
        <v>12</v>
      </c>
      <c r="E1363" s="18">
        <v>0.59</v>
      </c>
      <c r="F1363" s="18">
        <v>0.71</v>
      </c>
      <c r="G1363" s="20" t="s">
        <v>4622</v>
      </c>
      <c r="H1363" s="19" t="str">
        <f>HYPERLINK("https://elefant.by/catalogue/693994018","Посмотреть на сайте ...")</f>
        <v>Посмотреть на сайте ...</v>
      </c>
    </row>
    <row r="1364" spans="1:8" s="16" customFormat="1" x14ac:dyDescent="0.25">
      <c r="A1364" s="17">
        <v>1354</v>
      </c>
      <c r="B1364" s="17" t="s">
        <v>12</v>
      </c>
      <c r="C1364" s="17" t="s">
        <v>3517</v>
      </c>
      <c r="D1364" s="18">
        <v>12</v>
      </c>
      <c r="E1364" s="18">
        <v>0.59</v>
      </c>
      <c r="F1364" s="18">
        <v>0.71</v>
      </c>
      <c r="G1364" s="20" t="s">
        <v>4623</v>
      </c>
      <c r="H1364" s="19" t="str">
        <f>HYPERLINK("https://elefant.by/catalogue/693994017","Посмотреть на сайте ...")</f>
        <v>Посмотреть на сайте ...</v>
      </c>
    </row>
    <row r="1365" spans="1:8" s="16" customFormat="1" x14ac:dyDescent="0.25">
      <c r="A1365" s="17">
        <v>1355</v>
      </c>
      <c r="B1365" s="17" t="s">
        <v>12</v>
      </c>
      <c r="C1365" s="17" t="s">
        <v>3518</v>
      </c>
      <c r="D1365" s="18">
        <v>12</v>
      </c>
      <c r="E1365" s="18">
        <v>0.59</v>
      </c>
      <c r="F1365" s="18">
        <v>0.71</v>
      </c>
      <c r="G1365" s="20" t="s">
        <v>4624</v>
      </c>
      <c r="H1365" s="19" t="str">
        <f>HYPERLINK("https://elefant.by/catalogue/673464657","Посмотреть на сайте ...")</f>
        <v>Посмотреть на сайте ...</v>
      </c>
    </row>
    <row r="1366" spans="1:8" s="16" customFormat="1" x14ac:dyDescent="0.25">
      <c r="A1366" s="17">
        <v>1356</v>
      </c>
      <c r="B1366" s="17" t="s">
        <v>12</v>
      </c>
      <c r="C1366" s="17" t="s">
        <v>3519</v>
      </c>
      <c r="D1366" s="18">
        <v>12</v>
      </c>
      <c r="E1366" s="18">
        <v>0.59</v>
      </c>
      <c r="F1366" s="18">
        <v>0.71</v>
      </c>
      <c r="G1366" s="20" t="s">
        <v>4625</v>
      </c>
      <c r="H1366" s="19" t="str">
        <f>HYPERLINK("https://elefant.by/catalogue/673464660","Посмотреть на сайте ...")</f>
        <v>Посмотреть на сайте ...</v>
      </c>
    </row>
    <row r="1367" spans="1:8" s="16" customFormat="1" x14ac:dyDescent="0.25">
      <c r="A1367" s="17">
        <v>1357</v>
      </c>
      <c r="B1367" s="17" t="s">
        <v>12</v>
      </c>
      <c r="C1367" s="17" t="s">
        <v>3520</v>
      </c>
      <c r="D1367" s="18">
        <v>12</v>
      </c>
      <c r="E1367" s="18">
        <v>0.59</v>
      </c>
      <c r="F1367" s="18">
        <v>0.71</v>
      </c>
      <c r="G1367" s="20" t="s">
        <v>4626</v>
      </c>
      <c r="H1367" s="19" t="str">
        <f>HYPERLINK("https://elefant.by/catalogue/698790693","Посмотреть на сайте ...")</f>
        <v>Посмотреть на сайте ...</v>
      </c>
    </row>
    <row r="1368" spans="1:8" s="16" customFormat="1" x14ac:dyDescent="0.25">
      <c r="A1368" s="17">
        <v>1358</v>
      </c>
      <c r="B1368" s="17" t="s">
        <v>12</v>
      </c>
      <c r="C1368" s="17" t="s">
        <v>3521</v>
      </c>
      <c r="D1368" s="18">
        <v>12</v>
      </c>
      <c r="E1368" s="18">
        <v>0.59</v>
      </c>
      <c r="F1368" s="18">
        <v>0.71</v>
      </c>
      <c r="G1368" s="20" t="s">
        <v>4627</v>
      </c>
      <c r="H1368" s="19" t="str">
        <f>HYPERLINK("https://elefant.by/catalogue/666059199","Посмотреть на сайте ...")</f>
        <v>Посмотреть на сайте ...</v>
      </c>
    </row>
    <row r="1369" spans="1:8" s="16" customFormat="1" x14ac:dyDescent="0.25">
      <c r="A1369" s="17">
        <v>1359</v>
      </c>
      <c r="B1369" s="17" t="s">
        <v>12</v>
      </c>
      <c r="C1369" s="17" t="s">
        <v>3522</v>
      </c>
      <c r="D1369" s="18">
        <v>12</v>
      </c>
      <c r="E1369" s="18">
        <v>0.59</v>
      </c>
      <c r="F1369" s="18">
        <v>0.71</v>
      </c>
      <c r="G1369" s="20" t="s">
        <v>4628</v>
      </c>
      <c r="H1369" s="19" t="str">
        <f>HYPERLINK("https://elefant.by/catalogue/673464659","Посмотреть на сайте ...")</f>
        <v>Посмотреть на сайте ...</v>
      </c>
    </row>
    <row r="1370" spans="1:8" s="16" customFormat="1" x14ac:dyDescent="0.25">
      <c r="A1370" s="17">
        <v>1360</v>
      </c>
      <c r="B1370" s="17" t="s">
        <v>12</v>
      </c>
      <c r="C1370" s="17" t="s">
        <v>3523</v>
      </c>
      <c r="D1370" s="18">
        <v>12</v>
      </c>
      <c r="E1370" s="18">
        <v>0.53</v>
      </c>
      <c r="F1370" s="18">
        <v>0.64</v>
      </c>
      <c r="G1370" s="20" t="s">
        <v>4629</v>
      </c>
      <c r="H1370" s="19" t="str">
        <f>HYPERLINK("https://elefant.by/catalogue/698790691","Посмотреть на сайте ...")</f>
        <v>Посмотреть на сайте ...</v>
      </c>
    </row>
    <row r="1371" spans="1:8" s="16" customFormat="1" x14ac:dyDescent="0.25">
      <c r="A1371" s="17">
        <v>1361</v>
      </c>
      <c r="B1371" s="17" t="s">
        <v>12</v>
      </c>
      <c r="C1371" s="17" t="s">
        <v>3524</v>
      </c>
      <c r="D1371" s="18">
        <v>12</v>
      </c>
      <c r="E1371" s="18">
        <v>0.53</v>
      </c>
      <c r="F1371" s="18">
        <v>0.64</v>
      </c>
      <c r="G1371" s="20" t="s">
        <v>4630</v>
      </c>
      <c r="H1371" s="19" t="str">
        <f>HYPERLINK("https://elefant.by/catalogue/697549778","Посмотреть на сайте ...")</f>
        <v>Посмотреть на сайте ...</v>
      </c>
    </row>
    <row r="1372" spans="1:8" s="16" customFormat="1" x14ac:dyDescent="0.25">
      <c r="A1372" s="17">
        <v>1362</v>
      </c>
      <c r="B1372" s="17" t="s">
        <v>12</v>
      </c>
      <c r="C1372" s="17" t="s">
        <v>3525</v>
      </c>
      <c r="D1372" s="18">
        <v>12</v>
      </c>
      <c r="E1372" s="18">
        <v>0.53</v>
      </c>
      <c r="F1372" s="18">
        <v>0.64</v>
      </c>
      <c r="G1372" s="20" t="s">
        <v>4631</v>
      </c>
      <c r="H1372" s="19" t="str">
        <f>HYPERLINK("https://elefant.by/catalogue/697396643","Посмотреть на сайте ...")</f>
        <v>Посмотреть на сайте ...</v>
      </c>
    </row>
    <row r="1373" spans="1:8" s="16" customFormat="1" x14ac:dyDescent="0.25">
      <c r="A1373" s="17">
        <v>1363</v>
      </c>
      <c r="B1373" s="17" t="s">
        <v>9</v>
      </c>
      <c r="C1373" s="17" t="s">
        <v>3526</v>
      </c>
      <c r="D1373" s="18">
        <v>12</v>
      </c>
      <c r="E1373" s="18">
        <v>0.59</v>
      </c>
      <c r="F1373" s="18">
        <v>0.71</v>
      </c>
      <c r="G1373" s="20" t="s">
        <v>4632</v>
      </c>
      <c r="H1373" s="19" t="str">
        <f>HYPERLINK("https://elefant.by/catalogue/699663256","Посмотреть на сайте ...")</f>
        <v>Посмотреть на сайте ...</v>
      </c>
    </row>
    <row r="1374" spans="1:8" s="16" customFormat="1" x14ac:dyDescent="0.25">
      <c r="A1374" s="17">
        <v>1364</v>
      </c>
      <c r="B1374" s="17" t="s">
        <v>1324</v>
      </c>
      <c r="C1374" s="17" t="s">
        <v>1546</v>
      </c>
      <c r="D1374" s="18">
        <v>10</v>
      </c>
      <c r="E1374" s="18">
        <v>0.57999999999999996</v>
      </c>
      <c r="F1374" s="18">
        <v>0.7</v>
      </c>
      <c r="G1374" s="20" t="s">
        <v>1547</v>
      </c>
      <c r="H1374" s="19" t="str">
        <f>HYPERLINK("https://elefant.by/catalogue/155831481","Посмотреть на сайте ...")</f>
        <v>Посмотреть на сайте ...</v>
      </c>
    </row>
    <row r="1375" spans="1:8" s="16" customFormat="1" x14ac:dyDescent="0.25">
      <c r="A1375" s="17">
        <v>1365</v>
      </c>
      <c r="B1375" s="17" t="s">
        <v>1324</v>
      </c>
      <c r="C1375" s="17" t="s">
        <v>1548</v>
      </c>
      <c r="D1375" s="18">
        <v>10</v>
      </c>
      <c r="E1375" s="18">
        <v>0.57999999999999996</v>
      </c>
      <c r="F1375" s="18">
        <v>0.7</v>
      </c>
      <c r="G1375" s="20" t="s">
        <v>1549</v>
      </c>
      <c r="H1375" s="19" t="str">
        <f>HYPERLINK("https://elefant.by/catalogue/155831494","Посмотреть на сайте ...")</f>
        <v>Посмотреть на сайте ...</v>
      </c>
    </row>
    <row r="1376" spans="1:8" s="16" customFormat="1" x14ac:dyDescent="0.25">
      <c r="A1376" s="17">
        <v>1366</v>
      </c>
      <c r="B1376" s="17" t="s">
        <v>1324</v>
      </c>
      <c r="C1376" s="17" t="s">
        <v>1550</v>
      </c>
      <c r="D1376" s="18">
        <v>10</v>
      </c>
      <c r="E1376" s="18">
        <v>0.57999999999999996</v>
      </c>
      <c r="F1376" s="18">
        <v>0.7</v>
      </c>
      <c r="G1376" s="20" t="s">
        <v>1551</v>
      </c>
      <c r="H1376" s="19" t="str">
        <f>HYPERLINK("https://elefant.by/catalogue/155831497","Посмотреть на сайте ...")</f>
        <v>Посмотреть на сайте ...</v>
      </c>
    </row>
    <row r="1377" spans="1:8" s="16" customFormat="1" x14ac:dyDescent="0.25">
      <c r="A1377" s="17">
        <v>1367</v>
      </c>
      <c r="B1377" s="17" t="s">
        <v>1324</v>
      </c>
      <c r="C1377" s="17" t="s">
        <v>1552</v>
      </c>
      <c r="D1377" s="18">
        <v>10</v>
      </c>
      <c r="E1377" s="18">
        <v>0.57999999999999996</v>
      </c>
      <c r="F1377" s="18">
        <v>0.7</v>
      </c>
      <c r="G1377" s="20" t="s">
        <v>1553</v>
      </c>
      <c r="H1377" s="19" t="str">
        <f>HYPERLINK("https://elefant.by/catalogue/155831537","Посмотреть на сайте ...")</f>
        <v>Посмотреть на сайте ...</v>
      </c>
    </row>
    <row r="1378" spans="1:8" s="16" customFormat="1" x14ac:dyDescent="0.25">
      <c r="A1378" s="17">
        <v>1368</v>
      </c>
      <c r="B1378" s="17" t="s">
        <v>1324</v>
      </c>
      <c r="C1378" s="17" t="s">
        <v>1554</v>
      </c>
      <c r="D1378" s="18">
        <v>10</v>
      </c>
      <c r="E1378" s="18">
        <v>0.57999999999999996</v>
      </c>
      <c r="F1378" s="18">
        <v>0.7</v>
      </c>
      <c r="G1378" s="20" t="s">
        <v>1555</v>
      </c>
      <c r="H1378" s="19" t="str">
        <f>HYPERLINK("https://elefant.by/catalogue/155995679","Посмотреть на сайте ...")</f>
        <v>Посмотреть на сайте ...</v>
      </c>
    </row>
    <row r="1379" spans="1:8" s="16" customFormat="1" x14ac:dyDescent="0.25">
      <c r="A1379" s="17">
        <v>1369</v>
      </c>
      <c r="B1379" s="17" t="s">
        <v>9</v>
      </c>
      <c r="C1379" s="17" t="s">
        <v>3527</v>
      </c>
      <c r="D1379" s="18">
        <v>12</v>
      </c>
      <c r="E1379" s="18">
        <v>0.63</v>
      </c>
      <c r="F1379" s="18">
        <v>0.76</v>
      </c>
      <c r="G1379" s="20" t="s">
        <v>4633</v>
      </c>
      <c r="H1379" s="19" t="str">
        <f>HYPERLINK("https://elefant.by/catalogue/669575722","Посмотреть на сайте ...")</f>
        <v>Посмотреть на сайте ...</v>
      </c>
    </row>
    <row r="1380" spans="1:8" s="16" customFormat="1" x14ac:dyDescent="0.25">
      <c r="A1380" s="17">
        <v>1370</v>
      </c>
      <c r="B1380" s="17" t="s">
        <v>1324</v>
      </c>
      <c r="C1380" s="17" t="s">
        <v>1556</v>
      </c>
      <c r="D1380" s="18">
        <v>20</v>
      </c>
      <c r="E1380" s="18">
        <v>0.57999999999999996</v>
      </c>
      <c r="F1380" s="18">
        <v>0.7</v>
      </c>
      <c r="G1380" s="20" t="s">
        <v>1557</v>
      </c>
      <c r="H1380" s="19" t="str">
        <f>HYPERLINK("https://elefant.by/catalogue/156151037","Посмотреть на сайте ...")</f>
        <v>Посмотреть на сайте ...</v>
      </c>
    </row>
    <row r="1381" spans="1:8" s="16" customFormat="1" x14ac:dyDescent="0.25">
      <c r="A1381" s="17">
        <v>1371</v>
      </c>
      <c r="B1381" s="17" t="s">
        <v>1324</v>
      </c>
      <c r="C1381" s="17" t="s">
        <v>1558</v>
      </c>
      <c r="D1381" s="18">
        <v>10</v>
      </c>
      <c r="E1381" s="18">
        <v>0.57999999999999996</v>
      </c>
      <c r="F1381" s="18">
        <v>0.7</v>
      </c>
      <c r="G1381" s="20" t="s">
        <v>1559</v>
      </c>
      <c r="H1381" s="19" t="str">
        <f>HYPERLINK("https://elefant.by/catalogue/155831643","Посмотреть на сайте ...")</f>
        <v>Посмотреть на сайте ...</v>
      </c>
    </row>
    <row r="1382" spans="1:8" s="16" customFormat="1" x14ac:dyDescent="0.25">
      <c r="A1382" s="17">
        <v>1372</v>
      </c>
      <c r="B1382" s="17" t="s">
        <v>1324</v>
      </c>
      <c r="C1382" s="17" t="s">
        <v>1560</v>
      </c>
      <c r="D1382" s="18">
        <v>10</v>
      </c>
      <c r="E1382" s="18">
        <v>0.57999999999999996</v>
      </c>
      <c r="F1382" s="18">
        <v>0.7</v>
      </c>
      <c r="G1382" s="20" t="s">
        <v>1561</v>
      </c>
      <c r="H1382" s="19" t="str">
        <f>HYPERLINK("https://elefant.by/catalogue/155831645","Посмотреть на сайте ...")</f>
        <v>Посмотреть на сайте ...</v>
      </c>
    </row>
    <row r="1383" spans="1:8" s="16" customFormat="1" x14ac:dyDescent="0.25">
      <c r="A1383" s="17">
        <v>1373</v>
      </c>
      <c r="B1383" s="17" t="s">
        <v>1324</v>
      </c>
      <c r="C1383" s="17" t="s">
        <v>1562</v>
      </c>
      <c r="D1383" s="18">
        <v>10</v>
      </c>
      <c r="E1383" s="18">
        <v>0.57999999999999996</v>
      </c>
      <c r="F1383" s="18">
        <v>0.7</v>
      </c>
      <c r="G1383" s="20" t="s">
        <v>1563</v>
      </c>
      <c r="H1383" s="19" t="str">
        <f>HYPERLINK("https://elefant.by/catalogue/155831647","Посмотреть на сайте ...")</f>
        <v>Посмотреть на сайте ...</v>
      </c>
    </row>
    <row r="1384" spans="1:8" s="16" customFormat="1" x14ac:dyDescent="0.25">
      <c r="A1384" s="17">
        <v>1374</v>
      </c>
      <c r="B1384" s="17" t="s">
        <v>1324</v>
      </c>
      <c r="C1384" s="17" t="s">
        <v>1564</v>
      </c>
      <c r="D1384" s="18">
        <v>10</v>
      </c>
      <c r="E1384" s="18">
        <v>0.57999999999999996</v>
      </c>
      <c r="F1384" s="18">
        <v>0.7</v>
      </c>
      <c r="G1384" s="20" t="s">
        <v>1565</v>
      </c>
      <c r="H1384" s="19" t="str">
        <f>HYPERLINK("https://elefant.by/catalogue/155831675","Посмотреть на сайте ...")</f>
        <v>Посмотреть на сайте ...</v>
      </c>
    </row>
    <row r="1385" spans="1:8" s="16" customFormat="1" x14ac:dyDescent="0.25">
      <c r="A1385" s="17">
        <v>1375</v>
      </c>
      <c r="B1385" s="17" t="s">
        <v>9</v>
      </c>
      <c r="C1385" s="17" t="s">
        <v>3528</v>
      </c>
      <c r="D1385" s="18">
        <v>24</v>
      </c>
      <c r="E1385" s="18">
        <v>0.44</v>
      </c>
      <c r="F1385" s="18">
        <v>0.53</v>
      </c>
      <c r="G1385" s="20" t="s">
        <v>4634</v>
      </c>
      <c r="H1385" s="19" t="str">
        <f>HYPERLINK("https://elefant.by/catalogue/656622149","Посмотреть на сайте ...")</f>
        <v>Посмотреть на сайте ...</v>
      </c>
    </row>
    <row r="1386" spans="1:8" s="16" customFormat="1" x14ac:dyDescent="0.25">
      <c r="A1386" s="17">
        <v>1376</v>
      </c>
      <c r="B1386" s="17" t="s">
        <v>9</v>
      </c>
      <c r="C1386" s="17" t="s">
        <v>3529</v>
      </c>
      <c r="D1386" s="18">
        <v>12</v>
      </c>
      <c r="E1386" s="18">
        <v>0.5</v>
      </c>
      <c r="F1386" s="18">
        <v>0.6</v>
      </c>
      <c r="G1386" s="20" t="s">
        <v>4635</v>
      </c>
      <c r="H1386" s="19" t="str">
        <f>HYPERLINK("https://elefant.by/catalogue/666775552","Посмотреть на сайте ...")</f>
        <v>Посмотреть на сайте ...</v>
      </c>
    </row>
    <row r="1387" spans="1:8" s="16" customFormat="1" x14ac:dyDescent="0.25">
      <c r="A1387" s="17">
        <v>1377</v>
      </c>
      <c r="B1387" s="17" t="s">
        <v>14</v>
      </c>
      <c r="C1387" s="17" t="s">
        <v>1566</v>
      </c>
      <c r="D1387" s="18">
        <v>50</v>
      </c>
      <c r="E1387" s="18">
        <v>0.14000000000000001</v>
      </c>
      <c r="F1387" s="18">
        <v>0.17</v>
      </c>
      <c r="G1387" s="20" t="s">
        <v>1567</v>
      </c>
      <c r="H1387" s="19" t="str">
        <f>HYPERLINK("https://elefant.by/catalogue/521950402","Посмотреть на сайте ...")</f>
        <v>Посмотреть на сайте ...</v>
      </c>
    </row>
    <row r="1388" spans="1:8" s="16" customFormat="1" x14ac:dyDescent="0.25">
      <c r="A1388" s="17">
        <v>1378</v>
      </c>
      <c r="B1388" s="17" t="s">
        <v>14</v>
      </c>
      <c r="C1388" s="17" t="s">
        <v>1568</v>
      </c>
      <c r="D1388" s="18">
        <v>50</v>
      </c>
      <c r="E1388" s="18">
        <v>0.24</v>
      </c>
      <c r="F1388" s="18">
        <v>0.28999999999999998</v>
      </c>
      <c r="G1388" s="20" t="s">
        <v>1569</v>
      </c>
      <c r="H1388" s="19" t="str">
        <f>HYPERLINK("https://elefant.by/catalogue/174284247","Посмотреть на сайте ...")</f>
        <v>Посмотреть на сайте ...</v>
      </c>
    </row>
    <row r="1389" spans="1:8" s="16" customFormat="1" x14ac:dyDescent="0.25">
      <c r="A1389" s="17">
        <v>1379</v>
      </c>
      <c r="B1389" s="17" t="s">
        <v>20</v>
      </c>
      <c r="C1389" s="17" t="s">
        <v>1570</v>
      </c>
      <c r="D1389" s="18">
        <v>5</v>
      </c>
      <c r="E1389" s="18">
        <v>1.75</v>
      </c>
      <c r="F1389" s="18">
        <v>2.1</v>
      </c>
      <c r="G1389" s="20" t="s">
        <v>1571</v>
      </c>
      <c r="H1389" s="19" t="str">
        <f>HYPERLINK("https://elefant.by/catalogue/597581574","Посмотреть на сайте ...")</f>
        <v>Посмотреть на сайте ...</v>
      </c>
    </row>
    <row r="1390" spans="1:8" s="16" customFormat="1" x14ac:dyDescent="0.25">
      <c r="A1390" s="17">
        <v>1380</v>
      </c>
      <c r="B1390" s="17" t="s">
        <v>11</v>
      </c>
      <c r="C1390" s="17" t="s">
        <v>1572</v>
      </c>
      <c r="D1390" s="18">
        <v>10</v>
      </c>
      <c r="E1390" s="18">
        <v>4.3600000000000003</v>
      </c>
      <c r="F1390" s="18">
        <v>5.23</v>
      </c>
      <c r="G1390" s="20" t="s">
        <v>1573</v>
      </c>
      <c r="H1390" s="19" t="str">
        <f>HYPERLINK("https://elefant.by/catalogue/425080671","Посмотреть на сайте ...")</f>
        <v>Посмотреть на сайте ...</v>
      </c>
    </row>
    <row r="1391" spans="1:8" s="16" customFormat="1" x14ac:dyDescent="0.25">
      <c r="A1391" s="17">
        <v>1381</v>
      </c>
      <c r="B1391" s="17" t="s">
        <v>1324</v>
      </c>
      <c r="C1391" s="17" t="s">
        <v>1574</v>
      </c>
      <c r="D1391" s="18">
        <v>30</v>
      </c>
      <c r="E1391" s="18">
        <v>2.94</v>
      </c>
      <c r="F1391" s="18">
        <v>3.53</v>
      </c>
      <c r="G1391" s="20" t="s">
        <v>1575</v>
      </c>
      <c r="H1391" s="19" t="str">
        <f>HYPERLINK("https://elefant.by/catalogue/161570177","Посмотреть на сайте ...")</f>
        <v>Посмотреть на сайте ...</v>
      </c>
    </row>
    <row r="1392" spans="1:8" s="16" customFormat="1" x14ac:dyDescent="0.25">
      <c r="A1392" s="17">
        <v>1382</v>
      </c>
      <c r="B1392" s="17" t="s">
        <v>1324</v>
      </c>
      <c r="C1392" s="17" t="s">
        <v>1576</v>
      </c>
      <c r="D1392" s="18">
        <v>30</v>
      </c>
      <c r="E1392" s="18">
        <v>2.94</v>
      </c>
      <c r="F1392" s="18">
        <v>3.53</v>
      </c>
      <c r="G1392" s="20" t="s">
        <v>1577</v>
      </c>
      <c r="H1392" s="19" t="str">
        <f>HYPERLINK("https://elefant.by/catalogue/161570178","Посмотреть на сайте ...")</f>
        <v>Посмотреть на сайте ...</v>
      </c>
    </row>
    <row r="1393" spans="1:8" s="16" customFormat="1" x14ac:dyDescent="0.25">
      <c r="A1393" s="17">
        <v>1383</v>
      </c>
      <c r="B1393" s="17" t="s">
        <v>1324</v>
      </c>
      <c r="C1393" s="17" t="s">
        <v>1578</v>
      </c>
      <c r="D1393" s="18">
        <v>25</v>
      </c>
      <c r="E1393" s="18">
        <v>0.27</v>
      </c>
      <c r="F1393" s="18">
        <v>0.32</v>
      </c>
      <c r="G1393" s="20" t="s">
        <v>1579</v>
      </c>
      <c r="H1393" s="19" t="str">
        <f>HYPERLINK("https://elefant.by/catalogue/164344732","Посмотреть на сайте ...")</f>
        <v>Посмотреть на сайте ...</v>
      </c>
    </row>
    <row r="1394" spans="1:8" s="16" customFormat="1" x14ac:dyDescent="0.25">
      <c r="A1394" s="17">
        <v>1384</v>
      </c>
      <c r="B1394" s="17" t="s">
        <v>1324</v>
      </c>
      <c r="C1394" s="17" t="s">
        <v>1580</v>
      </c>
      <c r="D1394" s="18">
        <v>25</v>
      </c>
      <c r="E1394" s="18">
        <v>0.27</v>
      </c>
      <c r="F1394" s="18">
        <v>0.32</v>
      </c>
      <c r="G1394" s="20" t="s">
        <v>1581</v>
      </c>
      <c r="H1394" s="19" t="str">
        <f>HYPERLINK("https://elefant.by/catalogue/164344733","Посмотреть на сайте ...")</f>
        <v>Посмотреть на сайте ...</v>
      </c>
    </row>
    <row r="1395" spans="1:8" s="16" customFormat="1" x14ac:dyDescent="0.25">
      <c r="A1395" s="17">
        <v>1385</v>
      </c>
      <c r="B1395" s="17" t="s">
        <v>1324</v>
      </c>
      <c r="C1395" s="17" t="s">
        <v>1582</v>
      </c>
      <c r="D1395" s="18">
        <v>25</v>
      </c>
      <c r="E1395" s="18">
        <v>0.27</v>
      </c>
      <c r="F1395" s="18">
        <v>0.32</v>
      </c>
      <c r="G1395" s="20" t="s">
        <v>1583</v>
      </c>
      <c r="H1395" s="19" t="str">
        <f>HYPERLINK("https://elefant.by/catalogue/164344734","Посмотреть на сайте ...")</f>
        <v>Посмотреть на сайте ...</v>
      </c>
    </row>
    <row r="1396" spans="1:8" s="16" customFormat="1" x14ac:dyDescent="0.25">
      <c r="A1396" s="17">
        <v>1386</v>
      </c>
      <c r="B1396" s="17" t="s">
        <v>1324</v>
      </c>
      <c r="C1396" s="17" t="s">
        <v>1584</v>
      </c>
      <c r="D1396" s="18">
        <v>25</v>
      </c>
      <c r="E1396" s="18">
        <v>0.27</v>
      </c>
      <c r="F1396" s="18">
        <v>0.32</v>
      </c>
      <c r="G1396" s="20" t="s">
        <v>1585</v>
      </c>
      <c r="H1396" s="19" t="str">
        <f>HYPERLINK("https://elefant.by/catalogue/164344735","Посмотреть на сайте ...")</f>
        <v>Посмотреть на сайте ...</v>
      </c>
    </row>
    <row r="1397" spans="1:8" s="16" customFormat="1" x14ac:dyDescent="0.25">
      <c r="A1397" s="17">
        <v>1387</v>
      </c>
      <c r="B1397" s="17" t="s">
        <v>1324</v>
      </c>
      <c r="C1397" s="17" t="s">
        <v>1586</v>
      </c>
      <c r="D1397" s="18">
        <v>25</v>
      </c>
      <c r="E1397" s="18">
        <v>0.27</v>
      </c>
      <c r="F1397" s="18">
        <v>0.32</v>
      </c>
      <c r="G1397" s="20" t="s">
        <v>1587</v>
      </c>
      <c r="H1397" s="19" t="str">
        <f>HYPERLINK("https://elefant.by/catalogue/164344736","Посмотреть на сайте ...")</f>
        <v>Посмотреть на сайте ...</v>
      </c>
    </row>
    <row r="1398" spans="1:8" s="16" customFormat="1" x14ac:dyDescent="0.25">
      <c r="A1398" s="17">
        <v>1388</v>
      </c>
      <c r="B1398" s="17" t="s">
        <v>1324</v>
      </c>
      <c r="C1398" s="17" t="s">
        <v>1588</v>
      </c>
      <c r="D1398" s="18">
        <v>25</v>
      </c>
      <c r="E1398" s="18">
        <v>0.27</v>
      </c>
      <c r="F1398" s="18">
        <v>0.32</v>
      </c>
      <c r="G1398" s="20" t="s">
        <v>1589</v>
      </c>
      <c r="H1398" s="19" t="str">
        <f>HYPERLINK("https://elefant.by/catalogue/164344737","Посмотреть на сайте ...")</f>
        <v>Посмотреть на сайте ...</v>
      </c>
    </row>
    <row r="1399" spans="1:8" s="16" customFormat="1" x14ac:dyDescent="0.25">
      <c r="A1399" s="17">
        <v>1389</v>
      </c>
      <c r="B1399" s="17" t="s">
        <v>1324</v>
      </c>
      <c r="C1399" s="17" t="s">
        <v>1590</v>
      </c>
      <c r="D1399" s="18">
        <v>25</v>
      </c>
      <c r="E1399" s="18">
        <v>0.27</v>
      </c>
      <c r="F1399" s="18">
        <v>0.32</v>
      </c>
      <c r="G1399" s="20" t="s">
        <v>4636</v>
      </c>
      <c r="H1399" s="19" t="str">
        <f>HYPERLINK("https://elefant.by/catalogue/164344738","Посмотреть на сайте ...")</f>
        <v>Посмотреть на сайте ...</v>
      </c>
    </row>
    <row r="1400" spans="1:8" s="16" customFormat="1" x14ac:dyDescent="0.25">
      <c r="A1400" s="17">
        <v>1390</v>
      </c>
      <c r="B1400" s="17" t="s">
        <v>1324</v>
      </c>
      <c r="C1400" s="17" t="s">
        <v>1591</v>
      </c>
      <c r="D1400" s="18">
        <v>25</v>
      </c>
      <c r="E1400" s="18">
        <v>0.27</v>
      </c>
      <c r="F1400" s="18">
        <v>0.32</v>
      </c>
      <c r="G1400" s="20" t="s">
        <v>1592</v>
      </c>
      <c r="H1400" s="19" t="str">
        <f>HYPERLINK("https://elefant.by/catalogue/164344739","Посмотреть на сайте ...")</f>
        <v>Посмотреть на сайте ...</v>
      </c>
    </row>
    <row r="1401" spans="1:8" s="16" customFormat="1" x14ac:dyDescent="0.25">
      <c r="A1401" s="17">
        <v>1391</v>
      </c>
      <c r="B1401" s="17" t="s">
        <v>1324</v>
      </c>
      <c r="C1401" s="17" t="s">
        <v>1593</v>
      </c>
      <c r="D1401" s="18">
        <v>25</v>
      </c>
      <c r="E1401" s="18">
        <v>0.27</v>
      </c>
      <c r="F1401" s="18">
        <v>0.32</v>
      </c>
      <c r="G1401" s="20" t="s">
        <v>1594</v>
      </c>
      <c r="H1401" s="19" t="str">
        <f>HYPERLINK("https://elefant.by/catalogue/164344740","Посмотреть на сайте ...")</f>
        <v>Посмотреть на сайте ...</v>
      </c>
    </row>
    <row r="1402" spans="1:8" s="16" customFormat="1" x14ac:dyDescent="0.25">
      <c r="A1402" s="17">
        <v>1392</v>
      </c>
      <c r="B1402" s="17" t="s">
        <v>17</v>
      </c>
      <c r="C1402" s="17" t="s">
        <v>1595</v>
      </c>
      <c r="D1402" s="18">
        <v>20</v>
      </c>
      <c r="E1402" s="18">
        <v>0.36</v>
      </c>
      <c r="F1402" s="18">
        <v>0.43</v>
      </c>
      <c r="G1402" s="20" t="s">
        <v>4637</v>
      </c>
      <c r="H1402" s="19" t="str">
        <f>HYPERLINK("https://elefant.by/catalogue/463762123","Посмотреть на сайте ...")</f>
        <v>Посмотреть на сайте ...</v>
      </c>
    </row>
    <row r="1403" spans="1:8" s="16" customFormat="1" x14ac:dyDescent="0.25">
      <c r="A1403" s="17">
        <v>1393</v>
      </c>
      <c r="B1403" s="17" t="s">
        <v>17</v>
      </c>
      <c r="C1403" s="17" t="s">
        <v>1596</v>
      </c>
      <c r="D1403" s="18">
        <v>20</v>
      </c>
      <c r="E1403" s="18">
        <v>0.36</v>
      </c>
      <c r="F1403" s="18">
        <v>0.43</v>
      </c>
      <c r="G1403" s="20" t="s">
        <v>1597</v>
      </c>
      <c r="H1403" s="19" t="str">
        <f>HYPERLINK("https://elefant.by/catalogue/415712298","Посмотреть на сайте ...")</f>
        <v>Посмотреть на сайте ...</v>
      </c>
    </row>
    <row r="1404" spans="1:8" s="16" customFormat="1" x14ac:dyDescent="0.25">
      <c r="A1404" s="17">
        <v>1394</v>
      </c>
      <c r="B1404" s="17" t="s">
        <v>17</v>
      </c>
      <c r="C1404" s="17" t="s">
        <v>1598</v>
      </c>
      <c r="D1404" s="18">
        <v>20</v>
      </c>
      <c r="E1404" s="18">
        <v>0.36</v>
      </c>
      <c r="F1404" s="18">
        <v>0.43</v>
      </c>
      <c r="G1404" s="20" t="s">
        <v>1599</v>
      </c>
      <c r="H1404" s="19" t="str">
        <f>HYPERLINK("https://elefant.by/catalogue/434046849","Посмотреть на сайте ...")</f>
        <v>Посмотреть на сайте ...</v>
      </c>
    </row>
    <row r="1405" spans="1:8" s="16" customFormat="1" x14ac:dyDescent="0.25">
      <c r="A1405" s="17">
        <v>1395</v>
      </c>
      <c r="B1405" s="17" t="s">
        <v>17</v>
      </c>
      <c r="C1405" s="17" t="s">
        <v>1600</v>
      </c>
      <c r="D1405" s="18">
        <v>20</v>
      </c>
      <c r="E1405" s="18">
        <v>0.36</v>
      </c>
      <c r="F1405" s="18">
        <v>0.43</v>
      </c>
      <c r="G1405" s="20" t="s">
        <v>1601</v>
      </c>
      <c r="H1405" s="19" t="str">
        <f>HYPERLINK("https://elefant.by/catalogue/423695520","Посмотреть на сайте ...")</f>
        <v>Посмотреть на сайте ...</v>
      </c>
    </row>
    <row r="1406" spans="1:8" s="16" customFormat="1" x14ac:dyDescent="0.25">
      <c r="A1406" s="17">
        <v>1396</v>
      </c>
      <c r="B1406" s="17" t="s">
        <v>17</v>
      </c>
      <c r="C1406" s="17" t="s">
        <v>1602</v>
      </c>
      <c r="D1406" s="18">
        <v>20</v>
      </c>
      <c r="E1406" s="18">
        <v>0.36</v>
      </c>
      <c r="F1406" s="18">
        <v>0.43</v>
      </c>
      <c r="G1406" s="20" t="s">
        <v>1603</v>
      </c>
      <c r="H1406" s="19" t="str">
        <f>HYPERLINK("https://elefant.by/catalogue/434046850","Посмотреть на сайте ...")</f>
        <v>Посмотреть на сайте ...</v>
      </c>
    </row>
    <row r="1407" spans="1:8" s="16" customFormat="1" x14ac:dyDescent="0.25">
      <c r="A1407" s="17">
        <v>1397</v>
      </c>
      <c r="B1407" s="17" t="s">
        <v>17</v>
      </c>
      <c r="C1407" s="17" t="s">
        <v>1604</v>
      </c>
      <c r="D1407" s="18">
        <v>20</v>
      </c>
      <c r="E1407" s="18">
        <v>0.36</v>
      </c>
      <c r="F1407" s="18">
        <v>0.43</v>
      </c>
      <c r="G1407" s="20" t="s">
        <v>1605</v>
      </c>
      <c r="H1407" s="19" t="str">
        <f>HYPERLINK("https://elefant.by/catalogue/415712299","Посмотреть на сайте ...")</f>
        <v>Посмотреть на сайте ...</v>
      </c>
    </row>
    <row r="1408" spans="1:8" s="16" customFormat="1" x14ac:dyDescent="0.25">
      <c r="A1408" s="17">
        <v>1398</v>
      </c>
      <c r="B1408" s="17" t="s">
        <v>9</v>
      </c>
      <c r="C1408" s="17" t="s">
        <v>3530</v>
      </c>
      <c r="D1408" s="18">
        <v>20</v>
      </c>
      <c r="E1408" s="18">
        <v>0.3</v>
      </c>
      <c r="F1408" s="18">
        <v>0.36</v>
      </c>
      <c r="G1408" s="20" t="s">
        <v>4638</v>
      </c>
      <c r="H1408" s="19" t="str">
        <f>HYPERLINK("https://elefant.by/catalogue/696022294","Посмотреть на сайте ...")</f>
        <v>Посмотреть на сайте ...</v>
      </c>
    </row>
    <row r="1409" spans="1:8" s="16" customFormat="1" x14ac:dyDescent="0.25">
      <c r="A1409" s="17">
        <v>1399</v>
      </c>
      <c r="B1409" s="17" t="s">
        <v>14</v>
      </c>
      <c r="C1409" s="17" t="s">
        <v>1606</v>
      </c>
      <c r="D1409" s="18">
        <v>50</v>
      </c>
      <c r="E1409" s="18">
        <v>0.22</v>
      </c>
      <c r="F1409" s="18">
        <v>0.26</v>
      </c>
      <c r="G1409" s="20" t="s">
        <v>1607</v>
      </c>
      <c r="H1409" s="19" t="str">
        <f>HYPERLINK("https://elefant.by/catalogue/517105351","Посмотреть на сайте ...")</f>
        <v>Посмотреть на сайте ...</v>
      </c>
    </row>
    <row r="1410" spans="1:8" s="16" customFormat="1" x14ac:dyDescent="0.25">
      <c r="A1410" s="17">
        <v>1400</v>
      </c>
      <c r="B1410" s="17" t="s">
        <v>14</v>
      </c>
      <c r="C1410" s="17" t="s">
        <v>1608</v>
      </c>
      <c r="D1410" s="18">
        <v>50</v>
      </c>
      <c r="E1410" s="18">
        <v>0.35</v>
      </c>
      <c r="F1410" s="18">
        <v>0.42</v>
      </c>
      <c r="G1410" s="20" t="s">
        <v>1609</v>
      </c>
      <c r="H1410" s="19" t="str">
        <f>HYPERLINK("https://elefant.by/catalogue/160623029","Посмотреть на сайте ...")</f>
        <v>Посмотреть на сайте ...</v>
      </c>
    </row>
    <row r="1411" spans="1:8" s="16" customFormat="1" x14ac:dyDescent="0.25">
      <c r="A1411" s="17">
        <v>1401</v>
      </c>
      <c r="B1411" s="17" t="s">
        <v>1324</v>
      </c>
      <c r="C1411" s="17" t="s">
        <v>1610</v>
      </c>
      <c r="D1411" s="18">
        <v>25</v>
      </c>
      <c r="E1411" s="18">
        <v>0.31</v>
      </c>
      <c r="F1411" s="18">
        <v>0.37</v>
      </c>
      <c r="G1411" s="20" t="s">
        <v>1611</v>
      </c>
      <c r="H1411" s="19" t="str">
        <f>HYPERLINK("https://elefant.by/catalogue/148843198","Посмотреть на сайте ...")</f>
        <v>Посмотреть на сайте ...</v>
      </c>
    </row>
    <row r="1412" spans="1:8" s="16" customFormat="1" x14ac:dyDescent="0.25">
      <c r="A1412" s="17">
        <v>1402</v>
      </c>
      <c r="B1412" s="17" t="s">
        <v>1324</v>
      </c>
      <c r="C1412" s="17" t="s">
        <v>1612</v>
      </c>
      <c r="D1412" s="18">
        <v>25</v>
      </c>
      <c r="E1412" s="18">
        <v>0.31</v>
      </c>
      <c r="F1412" s="18">
        <v>0.37</v>
      </c>
      <c r="G1412" s="20" t="s">
        <v>1613</v>
      </c>
      <c r="H1412" s="19" t="str">
        <f>HYPERLINK("https://elefant.by/catalogue/148843199","Посмотреть на сайте ...")</f>
        <v>Посмотреть на сайте ...</v>
      </c>
    </row>
    <row r="1413" spans="1:8" s="16" customFormat="1" x14ac:dyDescent="0.25">
      <c r="A1413" s="17">
        <v>1403</v>
      </c>
      <c r="B1413" s="17" t="s">
        <v>1324</v>
      </c>
      <c r="C1413" s="17" t="s">
        <v>1614</v>
      </c>
      <c r="D1413" s="18">
        <v>25</v>
      </c>
      <c r="E1413" s="18">
        <v>0.31</v>
      </c>
      <c r="F1413" s="18">
        <v>0.37</v>
      </c>
      <c r="G1413" s="20" t="s">
        <v>1615</v>
      </c>
      <c r="H1413" s="19" t="str">
        <f>HYPERLINK("https://elefant.by/catalogue/148843200","Посмотреть на сайте ...")</f>
        <v>Посмотреть на сайте ...</v>
      </c>
    </row>
    <row r="1414" spans="1:8" s="16" customFormat="1" x14ac:dyDescent="0.25">
      <c r="A1414" s="17">
        <v>1404</v>
      </c>
      <c r="B1414" s="17" t="s">
        <v>1324</v>
      </c>
      <c r="C1414" s="17" t="s">
        <v>1616</v>
      </c>
      <c r="D1414" s="18">
        <v>25</v>
      </c>
      <c r="E1414" s="18">
        <v>0.31</v>
      </c>
      <c r="F1414" s="18">
        <v>0.37</v>
      </c>
      <c r="G1414" s="20" t="s">
        <v>1617</v>
      </c>
      <c r="H1414" s="19" t="str">
        <f>HYPERLINK("https://elefant.by/catalogue/171931475","Посмотреть на сайте ...")</f>
        <v>Посмотреть на сайте ...</v>
      </c>
    </row>
    <row r="1415" spans="1:8" s="16" customFormat="1" x14ac:dyDescent="0.25">
      <c r="A1415" s="17">
        <v>1405</v>
      </c>
      <c r="B1415" s="17" t="s">
        <v>1324</v>
      </c>
      <c r="C1415" s="17" t="s">
        <v>1618</v>
      </c>
      <c r="D1415" s="18">
        <v>25</v>
      </c>
      <c r="E1415" s="18">
        <v>0.31</v>
      </c>
      <c r="F1415" s="18">
        <v>0.37</v>
      </c>
      <c r="G1415" s="20" t="s">
        <v>1619</v>
      </c>
      <c r="H1415" s="19" t="str">
        <f>HYPERLINK("https://elefant.by/catalogue/148843203","Посмотреть на сайте ...")</f>
        <v>Посмотреть на сайте ...</v>
      </c>
    </row>
    <row r="1416" spans="1:8" s="16" customFormat="1" x14ac:dyDescent="0.25">
      <c r="A1416" s="17">
        <v>1406</v>
      </c>
      <c r="B1416" s="17" t="s">
        <v>1324</v>
      </c>
      <c r="C1416" s="17" t="s">
        <v>1620</v>
      </c>
      <c r="D1416" s="18">
        <v>25</v>
      </c>
      <c r="E1416" s="18">
        <v>0.31</v>
      </c>
      <c r="F1416" s="18">
        <v>0.37</v>
      </c>
      <c r="G1416" s="20" t="s">
        <v>1621</v>
      </c>
      <c r="H1416" s="19" t="str">
        <f>HYPERLINK("https://elefant.by/catalogue/148843204","Посмотреть на сайте ...")</f>
        <v>Посмотреть на сайте ...</v>
      </c>
    </row>
    <row r="1417" spans="1:8" s="16" customFormat="1" x14ac:dyDescent="0.25">
      <c r="A1417" s="17">
        <v>1407</v>
      </c>
      <c r="B1417" s="17" t="s">
        <v>1324</v>
      </c>
      <c r="C1417" s="17" t="s">
        <v>1622</v>
      </c>
      <c r="D1417" s="18">
        <v>25</v>
      </c>
      <c r="E1417" s="18">
        <v>0.36</v>
      </c>
      <c r="F1417" s="18">
        <v>0.43</v>
      </c>
      <c r="G1417" s="20" t="s">
        <v>1623</v>
      </c>
      <c r="H1417" s="19" t="str">
        <f>HYPERLINK("https://elefant.by/catalogue/151558012","Посмотреть на сайте ...")</f>
        <v>Посмотреть на сайте ...</v>
      </c>
    </row>
    <row r="1418" spans="1:8" s="16" customFormat="1" x14ac:dyDescent="0.25">
      <c r="A1418" s="17">
        <v>1408</v>
      </c>
      <c r="B1418" s="17" t="s">
        <v>1324</v>
      </c>
      <c r="C1418" s="17" t="s">
        <v>1624</v>
      </c>
      <c r="D1418" s="18">
        <v>25</v>
      </c>
      <c r="E1418" s="18">
        <v>0.36</v>
      </c>
      <c r="F1418" s="18">
        <v>0.43</v>
      </c>
      <c r="G1418" s="20" t="s">
        <v>1625</v>
      </c>
      <c r="H1418" s="19" t="str">
        <f>HYPERLINK("https://elefant.by/catalogue/151558013","Посмотреть на сайте ...")</f>
        <v>Посмотреть на сайте ...</v>
      </c>
    </row>
    <row r="1419" spans="1:8" s="16" customFormat="1" x14ac:dyDescent="0.25">
      <c r="A1419" s="17">
        <v>1409</v>
      </c>
      <c r="B1419" s="17" t="s">
        <v>1324</v>
      </c>
      <c r="C1419" s="17" t="s">
        <v>1626</v>
      </c>
      <c r="D1419" s="18">
        <v>25</v>
      </c>
      <c r="E1419" s="18">
        <v>0.36</v>
      </c>
      <c r="F1419" s="18">
        <v>0.43</v>
      </c>
      <c r="G1419" s="20" t="s">
        <v>1627</v>
      </c>
      <c r="H1419" s="19" t="str">
        <f>HYPERLINK("https://elefant.by/catalogue/155824280","Посмотреть на сайте ...")</f>
        <v>Посмотреть на сайте ...</v>
      </c>
    </row>
    <row r="1420" spans="1:8" s="16" customFormat="1" x14ac:dyDescent="0.25">
      <c r="A1420" s="17">
        <v>1410</v>
      </c>
      <c r="B1420" s="17" t="s">
        <v>1324</v>
      </c>
      <c r="C1420" s="17" t="s">
        <v>1628</v>
      </c>
      <c r="D1420" s="18">
        <v>25</v>
      </c>
      <c r="E1420" s="18">
        <v>0.36</v>
      </c>
      <c r="F1420" s="18">
        <v>0.43</v>
      </c>
      <c r="G1420" s="20" t="s">
        <v>1629</v>
      </c>
      <c r="H1420" s="19" t="str">
        <f>HYPERLINK("https://elefant.by/catalogue/155824281","Посмотреть на сайте ...")</f>
        <v>Посмотреть на сайте ...</v>
      </c>
    </row>
    <row r="1421" spans="1:8" s="16" customFormat="1" x14ac:dyDescent="0.25">
      <c r="A1421" s="17">
        <v>1411</v>
      </c>
      <c r="B1421" s="17" t="s">
        <v>1324</v>
      </c>
      <c r="C1421" s="17" t="s">
        <v>1630</v>
      </c>
      <c r="D1421" s="18">
        <v>25</v>
      </c>
      <c r="E1421" s="18">
        <v>0.36</v>
      </c>
      <c r="F1421" s="18">
        <v>0.43</v>
      </c>
      <c r="G1421" s="20" t="s">
        <v>1631</v>
      </c>
      <c r="H1421" s="19" t="str">
        <f>HYPERLINK("https://elefant.by/catalogue/156151038","Посмотреть на сайте ...")</f>
        <v>Посмотреть на сайте ...</v>
      </c>
    </row>
    <row r="1422" spans="1:8" s="16" customFormat="1" x14ac:dyDescent="0.25">
      <c r="A1422" s="17">
        <v>1412</v>
      </c>
      <c r="B1422" s="17" t="s">
        <v>1324</v>
      </c>
      <c r="C1422" s="17" t="s">
        <v>1632</v>
      </c>
      <c r="D1422" s="18">
        <v>25</v>
      </c>
      <c r="E1422" s="18">
        <v>0.36</v>
      </c>
      <c r="F1422" s="18">
        <v>0.43</v>
      </c>
      <c r="G1422" s="20" t="s">
        <v>1623</v>
      </c>
      <c r="H1422" s="19" t="str">
        <f>HYPERLINK("https://elefant.by/catalogue/151679953","Посмотреть на сайте ...")</f>
        <v>Посмотреть на сайте ...</v>
      </c>
    </row>
    <row r="1423" spans="1:8" s="16" customFormat="1" x14ac:dyDescent="0.25">
      <c r="A1423" s="17">
        <v>1413</v>
      </c>
      <c r="B1423" s="17" t="s">
        <v>17</v>
      </c>
      <c r="C1423" s="17" t="s">
        <v>1633</v>
      </c>
      <c r="D1423" s="18">
        <v>50</v>
      </c>
      <c r="E1423" s="18">
        <v>0.82</v>
      </c>
      <c r="F1423" s="18">
        <v>0.98</v>
      </c>
      <c r="G1423" s="20" t="s">
        <v>1634</v>
      </c>
      <c r="H1423" s="19" t="str">
        <f>HYPERLINK("https://elefant.by/catalogue/553959484","Посмотреть на сайте ...")</f>
        <v>Посмотреть на сайте ...</v>
      </c>
    </row>
    <row r="1424" spans="1:8" s="16" customFormat="1" x14ac:dyDescent="0.25">
      <c r="A1424" s="17">
        <v>1414</v>
      </c>
      <c r="B1424" s="17" t="s">
        <v>12</v>
      </c>
      <c r="C1424" s="17" t="s">
        <v>3531</v>
      </c>
      <c r="D1424" s="18">
        <v>12</v>
      </c>
      <c r="E1424" s="18">
        <v>0.65</v>
      </c>
      <c r="F1424" s="18">
        <v>0.78</v>
      </c>
      <c r="G1424" s="20" t="s">
        <v>4639</v>
      </c>
      <c r="H1424" s="19" t="str">
        <f>HYPERLINK("https://elefant.by/catalogue/688553465","Посмотреть на сайте ...")</f>
        <v>Посмотреть на сайте ...</v>
      </c>
    </row>
    <row r="1425" spans="1:8" s="16" customFormat="1" x14ac:dyDescent="0.25">
      <c r="A1425" s="17">
        <v>1415</v>
      </c>
      <c r="B1425" s="17" t="s">
        <v>12</v>
      </c>
      <c r="C1425" s="17" t="s">
        <v>3532</v>
      </c>
      <c r="D1425" s="18">
        <v>12</v>
      </c>
      <c r="E1425" s="18">
        <v>0.65</v>
      </c>
      <c r="F1425" s="18">
        <v>0.78</v>
      </c>
      <c r="G1425" s="20" t="s">
        <v>4640</v>
      </c>
      <c r="H1425" s="19" t="str">
        <f>HYPERLINK("https://elefant.by/catalogue/688553464","Посмотреть на сайте ...")</f>
        <v>Посмотреть на сайте ...</v>
      </c>
    </row>
    <row r="1426" spans="1:8" s="16" customFormat="1" x14ac:dyDescent="0.25">
      <c r="A1426" s="17">
        <v>1416</v>
      </c>
      <c r="B1426" s="17" t="s">
        <v>12</v>
      </c>
      <c r="C1426" s="17" t="s">
        <v>3533</v>
      </c>
      <c r="D1426" s="18">
        <v>12</v>
      </c>
      <c r="E1426" s="18">
        <v>0.84</v>
      </c>
      <c r="F1426" s="18">
        <v>1.01</v>
      </c>
      <c r="G1426" s="20" t="s">
        <v>4641</v>
      </c>
      <c r="H1426" s="19" t="str">
        <f>HYPERLINK("https://elefant.by/catalogue/647930398","Посмотреть на сайте ...")</f>
        <v>Посмотреть на сайте ...</v>
      </c>
    </row>
    <row r="1427" spans="1:8" s="16" customFormat="1" x14ac:dyDescent="0.25">
      <c r="A1427" s="17">
        <v>1417</v>
      </c>
      <c r="B1427" s="17" t="s">
        <v>9</v>
      </c>
      <c r="C1427" s="17" t="s">
        <v>1635</v>
      </c>
      <c r="D1427" s="18">
        <v>10</v>
      </c>
      <c r="E1427" s="18">
        <v>0.21</v>
      </c>
      <c r="F1427" s="18">
        <v>0.25</v>
      </c>
      <c r="G1427" s="20" t="s">
        <v>1636</v>
      </c>
      <c r="H1427" s="19" t="str">
        <f>HYPERLINK("https://elefant.by/catalogue/505801444","Посмотреть на сайте ...")</f>
        <v>Посмотреть на сайте ...</v>
      </c>
    </row>
    <row r="1428" spans="1:8" s="16" customFormat="1" x14ac:dyDescent="0.25">
      <c r="A1428" s="17">
        <v>1418</v>
      </c>
      <c r="B1428" s="17" t="s">
        <v>9</v>
      </c>
      <c r="C1428" s="17" t="s">
        <v>1637</v>
      </c>
      <c r="D1428" s="18">
        <v>10</v>
      </c>
      <c r="E1428" s="18">
        <v>0.21</v>
      </c>
      <c r="F1428" s="18">
        <v>0.25</v>
      </c>
      <c r="G1428" s="20" t="s">
        <v>1638</v>
      </c>
      <c r="H1428" s="19" t="str">
        <f>HYPERLINK("https://elefant.by/catalogue/505801441","Посмотреть на сайте ...")</f>
        <v>Посмотреть на сайте ...</v>
      </c>
    </row>
    <row r="1429" spans="1:8" s="16" customFormat="1" x14ac:dyDescent="0.25">
      <c r="A1429" s="17">
        <v>1419</v>
      </c>
      <c r="B1429" s="17" t="s">
        <v>9</v>
      </c>
      <c r="C1429" s="17" t="s">
        <v>1639</v>
      </c>
      <c r="D1429" s="18">
        <v>10</v>
      </c>
      <c r="E1429" s="18">
        <v>0.21</v>
      </c>
      <c r="F1429" s="18">
        <v>0.25</v>
      </c>
      <c r="G1429" s="20" t="s">
        <v>1640</v>
      </c>
      <c r="H1429" s="19" t="str">
        <f>HYPERLINK("https://elefant.by/catalogue/505801443","Посмотреть на сайте ...")</f>
        <v>Посмотреть на сайте ...</v>
      </c>
    </row>
    <row r="1430" spans="1:8" s="16" customFormat="1" x14ac:dyDescent="0.25">
      <c r="A1430" s="17">
        <v>1420</v>
      </c>
      <c r="B1430" s="17" t="s">
        <v>9</v>
      </c>
      <c r="C1430" s="17" t="s">
        <v>1641</v>
      </c>
      <c r="D1430" s="18">
        <v>10</v>
      </c>
      <c r="E1430" s="18">
        <v>0.21</v>
      </c>
      <c r="F1430" s="18">
        <v>0.25</v>
      </c>
      <c r="G1430" s="20" t="s">
        <v>1642</v>
      </c>
      <c r="H1430" s="19" t="str">
        <f>HYPERLINK("https://elefant.by/catalogue/505801442","Посмотреть на сайте ...")</f>
        <v>Посмотреть на сайте ...</v>
      </c>
    </row>
    <row r="1431" spans="1:8" s="16" customFormat="1" x14ac:dyDescent="0.25">
      <c r="A1431" s="17">
        <v>1421</v>
      </c>
      <c r="B1431" s="17" t="s">
        <v>9</v>
      </c>
      <c r="C1431" s="17" t="s">
        <v>1643</v>
      </c>
      <c r="D1431" s="18">
        <v>10</v>
      </c>
      <c r="E1431" s="18">
        <v>0.21</v>
      </c>
      <c r="F1431" s="18">
        <v>0.25</v>
      </c>
      <c r="G1431" s="20" t="s">
        <v>1644</v>
      </c>
      <c r="H1431" s="19" t="str">
        <f>HYPERLINK("https://elefant.by/catalogue/505801387","Посмотреть на сайте ...")</f>
        <v>Посмотреть на сайте ...</v>
      </c>
    </row>
    <row r="1432" spans="1:8" s="16" customFormat="1" x14ac:dyDescent="0.25">
      <c r="A1432" s="17">
        <v>1422</v>
      </c>
      <c r="B1432" s="17" t="s">
        <v>1324</v>
      </c>
      <c r="C1432" s="17" t="s">
        <v>1645</v>
      </c>
      <c r="D1432" s="18">
        <v>20</v>
      </c>
      <c r="E1432" s="18">
        <v>0.28999999999999998</v>
      </c>
      <c r="F1432" s="18">
        <v>0.35</v>
      </c>
      <c r="G1432" s="20" t="s">
        <v>1646</v>
      </c>
      <c r="H1432" s="19" t="str">
        <f>HYPERLINK("https://elefant.by/catalogue/150088256","Посмотреть на сайте ...")</f>
        <v>Посмотреть на сайте ...</v>
      </c>
    </row>
    <row r="1433" spans="1:8" s="16" customFormat="1" x14ac:dyDescent="0.25">
      <c r="A1433" s="17">
        <v>1423</v>
      </c>
      <c r="B1433" s="17" t="s">
        <v>1324</v>
      </c>
      <c r="C1433" s="17" t="s">
        <v>1647</v>
      </c>
      <c r="D1433" s="18">
        <v>20</v>
      </c>
      <c r="E1433" s="18">
        <v>0.28999999999999998</v>
      </c>
      <c r="F1433" s="18">
        <v>0.35</v>
      </c>
      <c r="G1433" s="20" t="s">
        <v>1648</v>
      </c>
      <c r="H1433" s="19" t="str">
        <f>HYPERLINK("https://elefant.by/catalogue/148958917","Посмотреть на сайте ...")</f>
        <v>Посмотреть на сайте ...</v>
      </c>
    </row>
    <row r="1434" spans="1:8" s="16" customFormat="1" x14ac:dyDescent="0.25">
      <c r="A1434" s="17">
        <v>1424</v>
      </c>
      <c r="B1434" s="17" t="s">
        <v>1324</v>
      </c>
      <c r="C1434" s="17" t="s">
        <v>1649</v>
      </c>
      <c r="D1434" s="18">
        <v>20</v>
      </c>
      <c r="E1434" s="18">
        <v>0.28999999999999998</v>
      </c>
      <c r="F1434" s="18">
        <v>0.35</v>
      </c>
      <c r="G1434" s="20" t="s">
        <v>1650</v>
      </c>
      <c r="H1434" s="19" t="str">
        <f>HYPERLINK("https://elefant.by/catalogue/148958918","Посмотреть на сайте ...")</f>
        <v>Посмотреть на сайте ...</v>
      </c>
    </row>
    <row r="1435" spans="1:8" s="16" customFormat="1" x14ac:dyDescent="0.25">
      <c r="A1435" s="17">
        <v>1425</v>
      </c>
      <c r="B1435" s="17" t="s">
        <v>1324</v>
      </c>
      <c r="C1435" s="17" t="s">
        <v>1651</v>
      </c>
      <c r="D1435" s="18">
        <v>20</v>
      </c>
      <c r="E1435" s="18">
        <v>0.28999999999999998</v>
      </c>
      <c r="F1435" s="18">
        <v>0.35</v>
      </c>
      <c r="G1435" s="20" t="s">
        <v>1652</v>
      </c>
      <c r="H1435" s="19" t="str">
        <f>HYPERLINK("https://elefant.by/catalogue/148958919","Посмотреть на сайте ...")</f>
        <v>Посмотреть на сайте ...</v>
      </c>
    </row>
    <row r="1436" spans="1:8" s="16" customFormat="1" x14ac:dyDescent="0.25">
      <c r="A1436" s="17">
        <v>1426</v>
      </c>
      <c r="B1436" s="17" t="s">
        <v>1324</v>
      </c>
      <c r="C1436" s="17" t="s">
        <v>1653</v>
      </c>
      <c r="D1436" s="18">
        <v>20</v>
      </c>
      <c r="E1436" s="18">
        <v>0.28999999999999998</v>
      </c>
      <c r="F1436" s="18">
        <v>0.35</v>
      </c>
      <c r="G1436" s="20" t="s">
        <v>1654</v>
      </c>
      <c r="H1436" s="19" t="str">
        <f>HYPERLINK("https://elefant.by/catalogue/148958920","Посмотреть на сайте ...")</f>
        <v>Посмотреть на сайте ...</v>
      </c>
    </row>
    <row r="1437" spans="1:8" s="16" customFormat="1" x14ac:dyDescent="0.25">
      <c r="A1437" s="17">
        <v>1427</v>
      </c>
      <c r="B1437" s="17" t="s">
        <v>17</v>
      </c>
      <c r="C1437" s="17" t="s">
        <v>3534</v>
      </c>
      <c r="D1437" s="18">
        <v>20</v>
      </c>
      <c r="E1437" s="18">
        <v>0.22</v>
      </c>
      <c r="F1437" s="18">
        <v>0.26</v>
      </c>
      <c r="G1437" s="20"/>
      <c r="H1437" s="19" t="str">
        <f>HYPERLINK("https://elefant.by/catalogue/694321542","Посмотреть на сайте ...")</f>
        <v>Посмотреть на сайте ...</v>
      </c>
    </row>
    <row r="1438" spans="1:8" s="16" customFormat="1" x14ac:dyDescent="0.25">
      <c r="A1438" s="17">
        <v>1428</v>
      </c>
      <c r="B1438" s="17" t="s">
        <v>14</v>
      </c>
      <c r="C1438" s="17" t="s">
        <v>3535</v>
      </c>
      <c r="D1438" s="18">
        <v>10</v>
      </c>
      <c r="E1438" s="18">
        <v>0.47</v>
      </c>
      <c r="F1438" s="18">
        <v>0.56000000000000005</v>
      </c>
      <c r="G1438" s="20" t="s">
        <v>4642</v>
      </c>
      <c r="H1438" s="19" t="str">
        <f>HYPERLINK("https://elefant.by/catalogue/669256226","Посмотреть на сайте ...")</f>
        <v>Посмотреть на сайте ...</v>
      </c>
    </row>
    <row r="1439" spans="1:8" s="16" customFormat="1" x14ac:dyDescent="0.25">
      <c r="A1439" s="17">
        <v>1429</v>
      </c>
      <c r="B1439" s="17"/>
      <c r="C1439" s="17" t="s">
        <v>3536</v>
      </c>
      <c r="D1439" s="18">
        <v>1</v>
      </c>
      <c r="E1439" s="18">
        <v>0.75</v>
      </c>
      <c r="F1439" s="18">
        <v>0.9</v>
      </c>
      <c r="G1439" s="20" t="s">
        <v>4643</v>
      </c>
      <c r="H1439" s="19" t="str">
        <f>HYPERLINK("https://elefant.by/catalogue/669363853","Посмотреть на сайте ...")</f>
        <v>Посмотреть на сайте ...</v>
      </c>
    </row>
    <row r="1440" spans="1:8" s="16" customFormat="1" x14ac:dyDescent="0.25">
      <c r="A1440" s="17">
        <v>1430</v>
      </c>
      <c r="B1440" s="17"/>
      <c r="C1440" s="17" t="s">
        <v>3537</v>
      </c>
      <c r="D1440" s="18">
        <v>1</v>
      </c>
      <c r="E1440" s="18">
        <v>0.75</v>
      </c>
      <c r="F1440" s="18">
        <v>0.9</v>
      </c>
      <c r="G1440" s="20" t="s">
        <v>4644</v>
      </c>
      <c r="H1440" s="19" t="str">
        <f>HYPERLINK("https://elefant.by/catalogue/669363855","Посмотреть на сайте ...")</f>
        <v>Посмотреть на сайте ...</v>
      </c>
    </row>
    <row r="1441" spans="1:8" s="16" customFormat="1" x14ac:dyDescent="0.25">
      <c r="A1441" s="17">
        <v>1431</v>
      </c>
      <c r="B1441" s="17"/>
      <c r="C1441" s="17" t="s">
        <v>3538</v>
      </c>
      <c r="D1441" s="18">
        <v>1</v>
      </c>
      <c r="E1441" s="18">
        <v>0.75</v>
      </c>
      <c r="F1441" s="18">
        <v>0.9</v>
      </c>
      <c r="G1441" s="20" t="s">
        <v>4645</v>
      </c>
      <c r="H1441" s="19" t="str">
        <f>HYPERLINK("https://elefant.by/catalogue/669363854","Посмотреть на сайте ...")</f>
        <v>Посмотреть на сайте ...</v>
      </c>
    </row>
    <row r="1442" spans="1:8" s="16" customFormat="1" x14ac:dyDescent="0.25">
      <c r="A1442" s="17">
        <v>1432</v>
      </c>
      <c r="B1442" s="17" t="s">
        <v>288</v>
      </c>
      <c r="C1442" s="17" t="s">
        <v>3539</v>
      </c>
      <c r="D1442" s="18">
        <v>3</v>
      </c>
      <c r="E1442" s="18">
        <v>4.74</v>
      </c>
      <c r="F1442" s="18">
        <v>5.69</v>
      </c>
      <c r="G1442" s="20" t="s">
        <v>4646</v>
      </c>
      <c r="H1442" s="19" t="str">
        <f>HYPERLINK("https://elefant.by/catalogue/585408200","Посмотреть на сайте ...")</f>
        <v>Посмотреть на сайте ...</v>
      </c>
    </row>
    <row r="1443" spans="1:8" s="16" customFormat="1" x14ac:dyDescent="0.25">
      <c r="A1443" s="17">
        <v>1433</v>
      </c>
      <c r="B1443" s="17" t="s">
        <v>12</v>
      </c>
      <c r="C1443" s="17" t="s">
        <v>3540</v>
      </c>
      <c r="D1443" s="18">
        <v>24</v>
      </c>
      <c r="E1443" s="18">
        <v>7.51</v>
      </c>
      <c r="F1443" s="18">
        <v>9.01</v>
      </c>
      <c r="G1443" s="20" t="s">
        <v>4647</v>
      </c>
      <c r="H1443" s="19" t="str">
        <f>HYPERLINK("https://elefant.by/catalogue/530576024","Посмотреть на сайте ...")</f>
        <v>Посмотреть на сайте ...</v>
      </c>
    </row>
    <row r="1444" spans="1:8" s="16" customFormat="1" x14ac:dyDescent="0.25">
      <c r="A1444" s="17">
        <v>1434</v>
      </c>
      <c r="B1444" s="17" t="s">
        <v>12</v>
      </c>
      <c r="C1444" s="17" t="s">
        <v>1655</v>
      </c>
      <c r="D1444" s="18">
        <v>24</v>
      </c>
      <c r="E1444" s="18">
        <v>7.51</v>
      </c>
      <c r="F1444" s="18">
        <v>9.01</v>
      </c>
      <c r="G1444" s="20" t="s">
        <v>1656</v>
      </c>
      <c r="H1444" s="19" t="str">
        <f>HYPERLINK("https://elefant.by/catalogue/533057606","Посмотреть на сайте ...")</f>
        <v>Посмотреть на сайте ...</v>
      </c>
    </row>
    <row r="1445" spans="1:8" s="16" customFormat="1" x14ac:dyDescent="0.25">
      <c r="A1445" s="17">
        <v>1435</v>
      </c>
      <c r="B1445" s="17" t="s">
        <v>17</v>
      </c>
      <c r="C1445" s="17" t="s">
        <v>3541</v>
      </c>
      <c r="D1445" s="18">
        <v>5</v>
      </c>
      <c r="E1445" s="18">
        <v>2.5</v>
      </c>
      <c r="F1445" s="18">
        <v>3</v>
      </c>
      <c r="G1445" s="20" t="s">
        <v>4648</v>
      </c>
      <c r="H1445" s="19" t="str">
        <f>HYPERLINK("https://elefant.by/catalogue/674410595","Посмотреть на сайте ...")</f>
        <v>Посмотреть на сайте ...</v>
      </c>
    </row>
    <row r="1446" spans="1:8" s="16" customFormat="1" x14ac:dyDescent="0.25">
      <c r="A1446" s="17">
        <v>1436</v>
      </c>
      <c r="B1446" s="17" t="s">
        <v>17</v>
      </c>
      <c r="C1446" s="17" t="s">
        <v>3542</v>
      </c>
      <c r="D1446" s="18">
        <v>5</v>
      </c>
      <c r="E1446" s="18">
        <v>3.01</v>
      </c>
      <c r="F1446" s="18">
        <v>3.61</v>
      </c>
      <c r="G1446" s="20" t="s">
        <v>4649</v>
      </c>
      <c r="H1446" s="19" t="str">
        <f>HYPERLINK("https://elefant.by/catalogue/671790113","Посмотреть на сайте ...")</f>
        <v>Посмотреть на сайте ...</v>
      </c>
    </row>
    <row r="1447" spans="1:8" s="16" customFormat="1" x14ac:dyDescent="0.25">
      <c r="A1447" s="17">
        <v>1437</v>
      </c>
      <c r="B1447" s="17" t="s">
        <v>1324</v>
      </c>
      <c r="C1447" s="17" t="s">
        <v>1657</v>
      </c>
      <c r="D1447" s="18">
        <v>45</v>
      </c>
      <c r="E1447" s="18">
        <v>2.2999999999999998</v>
      </c>
      <c r="F1447" s="18">
        <v>2.76</v>
      </c>
      <c r="G1447" s="20" t="s">
        <v>1658</v>
      </c>
      <c r="H1447" s="19" t="str">
        <f>HYPERLINK("https://elefant.by/catalogue/166846248","Посмотреть на сайте ...")</f>
        <v>Посмотреть на сайте ...</v>
      </c>
    </row>
    <row r="1448" spans="1:8" s="16" customFormat="1" x14ac:dyDescent="0.25">
      <c r="A1448" s="17">
        <v>1438</v>
      </c>
      <c r="B1448" s="17" t="s">
        <v>1324</v>
      </c>
      <c r="C1448" s="17" t="s">
        <v>1659</v>
      </c>
      <c r="D1448" s="18">
        <v>45</v>
      </c>
      <c r="E1448" s="18">
        <v>2.2999999999999998</v>
      </c>
      <c r="F1448" s="18">
        <v>2.76</v>
      </c>
      <c r="G1448" s="20" t="s">
        <v>1660</v>
      </c>
      <c r="H1448" s="19" t="str">
        <f>HYPERLINK("https://elefant.by/catalogue/166846249","Посмотреть на сайте ...")</f>
        <v>Посмотреть на сайте ...</v>
      </c>
    </row>
    <row r="1449" spans="1:8" s="16" customFormat="1" x14ac:dyDescent="0.25">
      <c r="A1449" s="17">
        <v>1439</v>
      </c>
      <c r="B1449" s="17" t="s">
        <v>11</v>
      </c>
      <c r="C1449" s="17" t="s">
        <v>1661</v>
      </c>
      <c r="D1449" s="18">
        <v>10</v>
      </c>
      <c r="E1449" s="18">
        <v>2.02</v>
      </c>
      <c r="F1449" s="18">
        <v>2.42</v>
      </c>
      <c r="G1449" s="20" t="s">
        <v>1662</v>
      </c>
      <c r="H1449" s="19" t="str">
        <f>HYPERLINK("https://elefant.by/catalogue/425080670","Посмотреть на сайте ...")</f>
        <v>Посмотреть на сайте ...</v>
      </c>
    </row>
    <row r="1450" spans="1:8" s="16" customFormat="1" x14ac:dyDescent="0.25">
      <c r="A1450" s="17">
        <v>1440</v>
      </c>
      <c r="B1450" s="17" t="s">
        <v>10</v>
      </c>
      <c r="C1450" s="17" t="s">
        <v>1663</v>
      </c>
      <c r="D1450" s="18">
        <v>20</v>
      </c>
      <c r="E1450" s="18">
        <v>4.9400000000000004</v>
      </c>
      <c r="F1450" s="18">
        <v>5.93</v>
      </c>
      <c r="G1450" s="20" t="s">
        <v>1664</v>
      </c>
      <c r="H1450" s="19" t="str">
        <f>HYPERLINK("https://elefant.by/catalogue/198000532","Посмотреть на сайте ...")</f>
        <v>Посмотреть на сайте ...</v>
      </c>
    </row>
    <row r="1451" spans="1:8" s="16" customFormat="1" x14ac:dyDescent="0.25">
      <c r="A1451" s="17">
        <v>1441</v>
      </c>
      <c r="B1451" s="17" t="s">
        <v>10</v>
      </c>
      <c r="C1451" s="17" t="s">
        <v>1665</v>
      </c>
      <c r="D1451" s="18">
        <v>6</v>
      </c>
      <c r="E1451" s="18">
        <v>18.63</v>
      </c>
      <c r="F1451" s="18">
        <v>22.36</v>
      </c>
      <c r="G1451" s="20" t="s">
        <v>1666</v>
      </c>
      <c r="H1451" s="19" t="str">
        <f>HYPERLINK("https://elefant.by/catalogue/435978194","Посмотреть на сайте ...")</f>
        <v>Посмотреть на сайте ...</v>
      </c>
    </row>
    <row r="1452" spans="1:8" s="16" customFormat="1" x14ac:dyDescent="0.25">
      <c r="A1452" s="17">
        <v>1442</v>
      </c>
      <c r="B1452" s="17" t="s">
        <v>11</v>
      </c>
      <c r="C1452" s="17" t="s">
        <v>3543</v>
      </c>
      <c r="D1452" s="18">
        <v>10</v>
      </c>
      <c r="E1452" s="18">
        <v>4.78</v>
      </c>
      <c r="F1452" s="18">
        <v>5.74</v>
      </c>
      <c r="G1452" s="20" t="s">
        <v>4650</v>
      </c>
      <c r="H1452" s="19" t="str">
        <f>HYPERLINK("https://elefant.by/catalogue/257976322","Посмотреть на сайте ...")</f>
        <v>Посмотреть на сайте ...</v>
      </c>
    </row>
    <row r="1453" spans="1:8" s="16" customFormat="1" x14ac:dyDescent="0.25">
      <c r="A1453" s="17">
        <v>1443</v>
      </c>
      <c r="B1453" s="17" t="s">
        <v>66</v>
      </c>
      <c r="C1453" s="17" t="s">
        <v>1667</v>
      </c>
      <c r="D1453" s="18">
        <v>12</v>
      </c>
      <c r="E1453" s="18">
        <v>0.84</v>
      </c>
      <c r="F1453" s="18">
        <v>1.01</v>
      </c>
      <c r="G1453" s="20" t="s">
        <v>1668</v>
      </c>
      <c r="H1453" s="19" t="str">
        <f>HYPERLINK("https://elefant.by/catalogue/170647563","Посмотреть на сайте ...")</f>
        <v>Посмотреть на сайте ...</v>
      </c>
    </row>
    <row r="1454" spans="1:8" s="16" customFormat="1" x14ac:dyDescent="0.25">
      <c r="A1454" s="17">
        <v>1444</v>
      </c>
      <c r="B1454" s="17" t="s">
        <v>66</v>
      </c>
      <c r="C1454" s="17" t="s">
        <v>1669</v>
      </c>
      <c r="D1454" s="18">
        <v>12</v>
      </c>
      <c r="E1454" s="18">
        <v>1.32</v>
      </c>
      <c r="F1454" s="18">
        <v>1.58</v>
      </c>
      <c r="G1454" s="20" t="s">
        <v>1670</v>
      </c>
      <c r="H1454" s="19" t="str">
        <f>HYPERLINK("https://elefant.by/catalogue/161564588","Посмотреть на сайте ...")</f>
        <v>Посмотреть на сайте ...</v>
      </c>
    </row>
    <row r="1455" spans="1:8" s="16" customFormat="1" x14ac:dyDescent="0.25">
      <c r="A1455" s="17">
        <v>1445</v>
      </c>
      <c r="B1455" s="17" t="s">
        <v>12</v>
      </c>
      <c r="C1455" s="17" t="s">
        <v>1671</v>
      </c>
      <c r="D1455" s="18">
        <v>1</v>
      </c>
      <c r="E1455" s="18">
        <v>19.170000000000002</v>
      </c>
      <c r="F1455" s="18">
        <v>23</v>
      </c>
      <c r="G1455" s="20" t="s">
        <v>1672</v>
      </c>
      <c r="H1455" s="19" t="str">
        <f>HYPERLINK("https://elefant.by/catalogue/454862897","Посмотреть на сайте ...")</f>
        <v>Посмотреть на сайте ...</v>
      </c>
    </row>
    <row r="1456" spans="1:8" s="16" customFormat="1" x14ac:dyDescent="0.25">
      <c r="A1456" s="17">
        <v>1446</v>
      </c>
      <c r="B1456" s="17" t="s">
        <v>1673</v>
      </c>
      <c r="C1456" s="17" t="s">
        <v>3544</v>
      </c>
      <c r="D1456" s="18">
        <v>100</v>
      </c>
      <c r="E1456" s="18">
        <v>15.34</v>
      </c>
      <c r="F1456" s="18">
        <v>18.41</v>
      </c>
      <c r="G1456" s="20" t="s">
        <v>4651</v>
      </c>
      <c r="H1456" s="19" t="str">
        <f>HYPERLINK("https://elefant.by/catalogue/468219685","Посмотреть на сайте ...")</f>
        <v>Посмотреть на сайте ...</v>
      </c>
    </row>
    <row r="1457" spans="1:8" s="16" customFormat="1" x14ac:dyDescent="0.25">
      <c r="A1457" s="17">
        <v>1447</v>
      </c>
      <c r="B1457" s="17" t="s">
        <v>1673</v>
      </c>
      <c r="C1457" s="17" t="s">
        <v>3545</v>
      </c>
      <c r="D1457" s="18">
        <v>1</v>
      </c>
      <c r="E1457" s="18">
        <v>41.8</v>
      </c>
      <c r="F1457" s="18">
        <v>50.16</v>
      </c>
      <c r="G1457" s="20"/>
      <c r="H1457" s="19" t="str">
        <f>HYPERLINK("https://elefant.by/catalogue/284023913","Посмотреть на сайте ...")</f>
        <v>Посмотреть на сайте ...</v>
      </c>
    </row>
    <row r="1458" spans="1:8" s="16" customFormat="1" x14ac:dyDescent="0.25">
      <c r="A1458" s="17">
        <v>1448</v>
      </c>
      <c r="B1458" s="17" t="s">
        <v>1673</v>
      </c>
      <c r="C1458" s="17" t="s">
        <v>1674</v>
      </c>
      <c r="D1458" s="18">
        <v>100</v>
      </c>
      <c r="E1458" s="18">
        <v>11.49</v>
      </c>
      <c r="F1458" s="18">
        <v>13.79</v>
      </c>
      <c r="G1458" s="20" t="s">
        <v>1675</v>
      </c>
      <c r="H1458" s="19" t="str">
        <f>HYPERLINK("https://elefant.by/catalogue/211161938","Посмотреть на сайте ...")</f>
        <v>Посмотреть на сайте ...</v>
      </c>
    </row>
    <row r="1459" spans="1:8" s="16" customFormat="1" x14ac:dyDescent="0.25">
      <c r="A1459" s="17">
        <v>1449</v>
      </c>
      <c r="B1459" s="17" t="s">
        <v>158</v>
      </c>
      <c r="C1459" s="17" t="s">
        <v>1676</v>
      </c>
      <c r="D1459" s="18">
        <v>6</v>
      </c>
      <c r="E1459" s="18">
        <v>11.19</v>
      </c>
      <c r="F1459" s="18">
        <v>13.43</v>
      </c>
      <c r="G1459" s="20"/>
      <c r="H1459" s="19" t="str">
        <f>HYPERLINK("https://elefant.by/catalogue/645208825","Посмотреть на сайте ...")</f>
        <v>Посмотреть на сайте ...</v>
      </c>
    </row>
    <row r="1460" spans="1:8" s="16" customFormat="1" x14ac:dyDescent="0.25">
      <c r="A1460" s="17">
        <v>1450</v>
      </c>
      <c r="B1460" s="17" t="s">
        <v>158</v>
      </c>
      <c r="C1460" s="17" t="s">
        <v>3546</v>
      </c>
      <c r="D1460" s="18">
        <v>6</v>
      </c>
      <c r="E1460" s="18">
        <v>14.04</v>
      </c>
      <c r="F1460" s="18">
        <v>16.850000000000001</v>
      </c>
      <c r="G1460" s="20"/>
      <c r="H1460" s="19" t="str">
        <f>HYPERLINK("https://elefant.by/catalogue/696097373","Посмотреть на сайте ...")</f>
        <v>Посмотреть на сайте ...</v>
      </c>
    </row>
    <row r="1461" spans="1:8" s="16" customFormat="1" x14ac:dyDescent="0.25">
      <c r="A1461" s="17">
        <v>1451</v>
      </c>
      <c r="B1461" s="17" t="s">
        <v>9</v>
      </c>
      <c r="C1461" s="17" t="s">
        <v>1677</v>
      </c>
      <c r="D1461" s="18">
        <v>12</v>
      </c>
      <c r="E1461" s="18">
        <v>5.87</v>
      </c>
      <c r="F1461" s="18">
        <v>7.04</v>
      </c>
      <c r="G1461" s="20" t="s">
        <v>1678</v>
      </c>
      <c r="H1461" s="19" t="str">
        <f>HYPERLINK("https://elefant.by/catalogue/178563838","Посмотреть на сайте ...")</f>
        <v>Посмотреть на сайте ...</v>
      </c>
    </row>
    <row r="1462" spans="1:8" s="16" customFormat="1" x14ac:dyDescent="0.25">
      <c r="A1462" s="17">
        <v>1452</v>
      </c>
      <c r="B1462" s="17" t="s">
        <v>9</v>
      </c>
      <c r="C1462" s="17" t="s">
        <v>1679</v>
      </c>
      <c r="D1462" s="18">
        <v>12</v>
      </c>
      <c r="E1462" s="18">
        <v>5.87</v>
      </c>
      <c r="F1462" s="18">
        <v>7.04</v>
      </c>
      <c r="G1462" s="20" t="s">
        <v>1680</v>
      </c>
      <c r="H1462" s="19" t="str">
        <f>HYPERLINK("https://elefant.by/catalogue/178563837","Посмотреть на сайте ...")</f>
        <v>Посмотреть на сайте ...</v>
      </c>
    </row>
    <row r="1463" spans="1:8" s="16" customFormat="1" x14ac:dyDescent="0.25">
      <c r="A1463" s="17">
        <v>1453</v>
      </c>
      <c r="B1463" s="17" t="s">
        <v>17</v>
      </c>
      <c r="C1463" s="17" t="s">
        <v>1681</v>
      </c>
      <c r="D1463" s="18">
        <v>6</v>
      </c>
      <c r="E1463" s="18">
        <v>2.23</v>
      </c>
      <c r="F1463" s="18">
        <v>2.68</v>
      </c>
      <c r="G1463" s="20" t="s">
        <v>1682</v>
      </c>
      <c r="H1463" s="19" t="str">
        <f>HYPERLINK("https://elefant.by/catalogue/617899686","Посмотреть на сайте ...")</f>
        <v>Посмотреть на сайте ...</v>
      </c>
    </row>
    <row r="1464" spans="1:8" s="16" customFormat="1" x14ac:dyDescent="0.25">
      <c r="A1464" s="17">
        <v>1454</v>
      </c>
      <c r="B1464" s="17" t="s">
        <v>17</v>
      </c>
      <c r="C1464" s="17" t="s">
        <v>1683</v>
      </c>
      <c r="D1464" s="18">
        <v>6</v>
      </c>
      <c r="E1464" s="18">
        <v>2.2000000000000002</v>
      </c>
      <c r="F1464" s="18">
        <v>2.64</v>
      </c>
      <c r="G1464" s="20" t="s">
        <v>1684</v>
      </c>
      <c r="H1464" s="19" t="str">
        <f>HYPERLINK("https://elefant.by/catalogue/617899687","Посмотреть на сайте ...")</f>
        <v>Посмотреть на сайте ...</v>
      </c>
    </row>
    <row r="1465" spans="1:8" s="16" customFormat="1" x14ac:dyDescent="0.25">
      <c r="A1465" s="17">
        <v>1455</v>
      </c>
      <c r="B1465" s="17" t="s">
        <v>12</v>
      </c>
      <c r="C1465" s="17" t="s">
        <v>1685</v>
      </c>
      <c r="D1465" s="18">
        <v>1</v>
      </c>
      <c r="E1465" s="18">
        <v>3</v>
      </c>
      <c r="F1465" s="18">
        <v>3.6</v>
      </c>
      <c r="G1465" s="20" t="s">
        <v>1686</v>
      </c>
      <c r="H1465" s="19" t="str">
        <f>HYPERLINK("https://elefant.by/catalogue/645176827","Посмотреть на сайте ...")</f>
        <v>Посмотреть на сайте ...</v>
      </c>
    </row>
    <row r="1466" spans="1:8" s="16" customFormat="1" x14ac:dyDescent="0.25">
      <c r="A1466" s="17">
        <v>1456</v>
      </c>
      <c r="B1466" s="17" t="s">
        <v>12</v>
      </c>
      <c r="C1466" s="17" t="s">
        <v>1687</v>
      </c>
      <c r="D1466" s="18">
        <v>1</v>
      </c>
      <c r="E1466" s="18">
        <v>3</v>
      </c>
      <c r="F1466" s="18">
        <v>3.6</v>
      </c>
      <c r="G1466" s="20" t="s">
        <v>1688</v>
      </c>
      <c r="H1466" s="19" t="str">
        <f>HYPERLINK("https://elefant.by/catalogue/645176828","Посмотреть на сайте ...")</f>
        <v>Посмотреть на сайте ...</v>
      </c>
    </row>
    <row r="1467" spans="1:8" s="16" customFormat="1" x14ac:dyDescent="0.25">
      <c r="A1467" s="17">
        <v>1457</v>
      </c>
      <c r="B1467" s="17" t="s">
        <v>12</v>
      </c>
      <c r="C1467" s="17" t="s">
        <v>3547</v>
      </c>
      <c r="D1467" s="18">
        <v>1</v>
      </c>
      <c r="E1467" s="18">
        <v>3</v>
      </c>
      <c r="F1467" s="18">
        <v>3.6</v>
      </c>
      <c r="G1467" s="20" t="s">
        <v>4652</v>
      </c>
      <c r="H1467" s="19" t="str">
        <f>HYPERLINK("https://elefant.by/catalogue/661172533","Посмотреть на сайте ...")</f>
        <v>Посмотреть на сайте ...</v>
      </c>
    </row>
    <row r="1468" spans="1:8" s="16" customFormat="1" x14ac:dyDescent="0.25">
      <c r="A1468" s="17">
        <v>1458</v>
      </c>
      <c r="B1468" s="17" t="s">
        <v>12</v>
      </c>
      <c r="C1468" s="17" t="s">
        <v>3548</v>
      </c>
      <c r="D1468" s="18">
        <v>20</v>
      </c>
      <c r="E1468" s="18">
        <v>8.34</v>
      </c>
      <c r="F1468" s="18">
        <v>10.01</v>
      </c>
      <c r="G1468" s="20" t="s">
        <v>4653</v>
      </c>
      <c r="H1468" s="19" t="str">
        <f>HYPERLINK("https://elefant.by/catalogue/663507662","Посмотреть на сайте ...")</f>
        <v>Посмотреть на сайте ...</v>
      </c>
    </row>
    <row r="1469" spans="1:8" s="16" customFormat="1" x14ac:dyDescent="0.25">
      <c r="A1469" s="17">
        <v>1459</v>
      </c>
      <c r="B1469" s="17" t="s">
        <v>66</v>
      </c>
      <c r="C1469" s="17" t="s">
        <v>1689</v>
      </c>
      <c r="D1469" s="18">
        <v>15</v>
      </c>
      <c r="E1469" s="18">
        <v>2.84</v>
      </c>
      <c r="F1469" s="18">
        <v>3.41</v>
      </c>
      <c r="G1469" s="20" t="s">
        <v>1690</v>
      </c>
      <c r="H1469" s="19" t="str">
        <f>HYPERLINK("https://elefant.by/catalogue/333437058","Посмотреть на сайте ...")</f>
        <v>Посмотреть на сайте ...</v>
      </c>
    </row>
    <row r="1470" spans="1:8" s="16" customFormat="1" x14ac:dyDescent="0.25">
      <c r="A1470" s="17">
        <v>1460</v>
      </c>
      <c r="B1470" s="17" t="s">
        <v>223</v>
      </c>
      <c r="C1470" s="17" t="s">
        <v>1691</v>
      </c>
      <c r="D1470" s="18">
        <v>20</v>
      </c>
      <c r="E1470" s="18">
        <v>4.84</v>
      </c>
      <c r="F1470" s="18">
        <v>5.81</v>
      </c>
      <c r="G1470" s="20" t="s">
        <v>1692</v>
      </c>
      <c r="H1470" s="19" t="str">
        <f>HYPERLINK("https://elefant.by/catalogue/176608433","Посмотреть на сайте ...")</f>
        <v>Посмотреть на сайте ...</v>
      </c>
    </row>
    <row r="1471" spans="1:8" s="16" customFormat="1" x14ac:dyDescent="0.25">
      <c r="A1471" s="17">
        <v>1461</v>
      </c>
      <c r="B1471" s="17" t="s">
        <v>223</v>
      </c>
      <c r="C1471" s="17" t="s">
        <v>1693</v>
      </c>
      <c r="D1471" s="18">
        <v>20</v>
      </c>
      <c r="E1471" s="18">
        <v>4.55</v>
      </c>
      <c r="F1471" s="18">
        <v>5.46</v>
      </c>
      <c r="G1471" s="20" t="s">
        <v>1694</v>
      </c>
      <c r="H1471" s="19" t="str">
        <f>HYPERLINK("https://elefant.by/catalogue/191925660","Посмотреть на сайте ...")</f>
        <v>Посмотреть на сайте ...</v>
      </c>
    </row>
    <row r="1472" spans="1:8" s="16" customFormat="1" x14ac:dyDescent="0.25">
      <c r="A1472" s="17">
        <v>1462</v>
      </c>
      <c r="B1472" s="17" t="s">
        <v>13</v>
      </c>
      <c r="C1472" s="17" t="s">
        <v>1695</v>
      </c>
      <c r="D1472" s="18">
        <v>50</v>
      </c>
      <c r="E1472" s="18">
        <v>1.28</v>
      </c>
      <c r="F1472" s="18">
        <v>1.54</v>
      </c>
      <c r="G1472" s="20" t="s">
        <v>1696</v>
      </c>
      <c r="H1472" s="19" t="str">
        <f>HYPERLINK("https://elefant.by/catalogue/523974521","Посмотреть на сайте ...")</f>
        <v>Посмотреть на сайте ...</v>
      </c>
    </row>
    <row r="1473" spans="1:8" s="16" customFormat="1" x14ac:dyDescent="0.25">
      <c r="A1473" s="17">
        <v>1463</v>
      </c>
      <c r="B1473" s="17" t="s">
        <v>12</v>
      </c>
      <c r="C1473" s="17" t="s">
        <v>1697</v>
      </c>
      <c r="D1473" s="18">
        <v>1</v>
      </c>
      <c r="E1473" s="18">
        <v>2.42</v>
      </c>
      <c r="F1473" s="18">
        <v>2.9</v>
      </c>
      <c r="G1473" s="20" t="s">
        <v>1698</v>
      </c>
      <c r="H1473" s="19" t="str">
        <f>HYPERLINK("https://elefant.by/catalogue/593624893","Посмотреть на сайте ...")</f>
        <v>Посмотреть на сайте ...</v>
      </c>
    </row>
    <row r="1474" spans="1:8" s="16" customFormat="1" x14ac:dyDescent="0.25">
      <c r="A1474" s="17">
        <v>1464</v>
      </c>
      <c r="B1474" s="17" t="s">
        <v>17</v>
      </c>
      <c r="C1474" s="17" t="s">
        <v>1699</v>
      </c>
      <c r="D1474" s="18">
        <v>3</v>
      </c>
      <c r="E1474" s="18">
        <v>3.92</v>
      </c>
      <c r="F1474" s="18">
        <v>4.7</v>
      </c>
      <c r="G1474" s="20" t="s">
        <v>1700</v>
      </c>
      <c r="H1474" s="19" t="str">
        <f>HYPERLINK("https://elefant.by/catalogue/620247468","Посмотреть на сайте ...")</f>
        <v>Посмотреть на сайте ...</v>
      </c>
    </row>
    <row r="1475" spans="1:8" s="16" customFormat="1" x14ac:dyDescent="0.25">
      <c r="A1475" s="17">
        <v>1465</v>
      </c>
      <c r="B1475" s="17" t="s">
        <v>17</v>
      </c>
      <c r="C1475" s="17" t="s">
        <v>1701</v>
      </c>
      <c r="D1475" s="18">
        <v>3</v>
      </c>
      <c r="E1475" s="18">
        <v>3.92</v>
      </c>
      <c r="F1475" s="18">
        <v>4.7</v>
      </c>
      <c r="G1475" s="20" t="s">
        <v>1702</v>
      </c>
      <c r="H1475" s="19" t="str">
        <f>HYPERLINK("https://elefant.by/catalogue/620247469","Посмотреть на сайте ...")</f>
        <v>Посмотреть на сайте ...</v>
      </c>
    </row>
    <row r="1476" spans="1:8" s="16" customFormat="1" x14ac:dyDescent="0.25">
      <c r="A1476" s="17">
        <v>1466</v>
      </c>
      <c r="B1476" s="17" t="s">
        <v>9</v>
      </c>
      <c r="C1476" s="17" t="s">
        <v>1703</v>
      </c>
      <c r="D1476" s="18">
        <v>12</v>
      </c>
      <c r="E1476" s="18">
        <v>4</v>
      </c>
      <c r="F1476" s="18">
        <v>4.8</v>
      </c>
      <c r="G1476" s="20" t="s">
        <v>1704</v>
      </c>
      <c r="H1476" s="19" t="str">
        <f>HYPERLINK("https://elefant.by/catalogue/170500870","Посмотреть на сайте ...")</f>
        <v>Посмотреть на сайте ...</v>
      </c>
    </row>
    <row r="1477" spans="1:8" s="16" customFormat="1" x14ac:dyDescent="0.25">
      <c r="A1477" s="17">
        <v>1467</v>
      </c>
      <c r="B1477" s="17" t="s">
        <v>9</v>
      </c>
      <c r="C1477" s="17" t="s">
        <v>1705</v>
      </c>
      <c r="D1477" s="18">
        <v>12</v>
      </c>
      <c r="E1477" s="18">
        <v>4</v>
      </c>
      <c r="F1477" s="18">
        <v>4.8</v>
      </c>
      <c r="G1477" s="20" t="s">
        <v>1706</v>
      </c>
      <c r="H1477" s="19" t="str">
        <f>HYPERLINK("https://elefant.by/catalogue/171479785","Посмотреть на сайте ...")</f>
        <v>Посмотреть на сайте ...</v>
      </c>
    </row>
    <row r="1478" spans="1:8" s="16" customFormat="1" x14ac:dyDescent="0.25">
      <c r="A1478" s="17">
        <v>1468</v>
      </c>
      <c r="B1478" s="17" t="s">
        <v>12</v>
      </c>
      <c r="C1478" s="17" t="s">
        <v>1707</v>
      </c>
      <c r="D1478" s="18">
        <v>12</v>
      </c>
      <c r="E1478" s="18">
        <v>1.1299999999999999</v>
      </c>
      <c r="F1478" s="18">
        <v>1.36</v>
      </c>
      <c r="G1478" s="20" t="s">
        <v>1708</v>
      </c>
      <c r="H1478" s="19" t="str">
        <f>HYPERLINK("https://elefant.by/catalogue/637958323","Посмотреть на сайте ...")</f>
        <v>Посмотреть на сайте ...</v>
      </c>
    </row>
    <row r="1479" spans="1:8" s="16" customFormat="1" x14ac:dyDescent="0.25">
      <c r="A1479" s="17">
        <v>1469</v>
      </c>
      <c r="B1479" s="17" t="s">
        <v>12</v>
      </c>
      <c r="C1479" s="17" t="s">
        <v>1709</v>
      </c>
      <c r="D1479" s="18">
        <v>12</v>
      </c>
      <c r="E1479" s="18">
        <v>2.4300000000000002</v>
      </c>
      <c r="F1479" s="18">
        <v>2.92</v>
      </c>
      <c r="G1479" s="20" t="s">
        <v>1710</v>
      </c>
      <c r="H1479" s="19" t="str">
        <f>HYPERLINK("https://elefant.by/catalogue/610334257","Посмотреть на сайте ...")</f>
        <v>Посмотреть на сайте ...</v>
      </c>
    </row>
    <row r="1480" spans="1:8" s="16" customFormat="1" x14ac:dyDescent="0.25">
      <c r="A1480" s="17">
        <v>1470</v>
      </c>
      <c r="B1480" s="17" t="s">
        <v>66</v>
      </c>
      <c r="C1480" s="17" t="s">
        <v>1711</v>
      </c>
      <c r="D1480" s="18">
        <v>16</v>
      </c>
      <c r="E1480" s="18">
        <v>2.46</v>
      </c>
      <c r="F1480" s="18">
        <v>2.95</v>
      </c>
      <c r="G1480" s="20" t="s">
        <v>1712</v>
      </c>
      <c r="H1480" s="19" t="str">
        <f>HYPERLINK("https://elefant.by/catalogue/149981916","Посмотреть на сайте ...")</f>
        <v>Посмотреть на сайте ...</v>
      </c>
    </row>
    <row r="1481" spans="1:8" s="16" customFormat="1" x14ac:dyDescent="0.25">
      <c r="A1481" s="17">
        <v>1471</v>
      </c>
      <c r="B1481" s="17" t="s">
        <v>66</v>
      </c>
      <c r="C1481" s="17" t="s">
        <v>1713</v>
      </c>
      <c r="D1481" s="18">
        <v>16</v>
      </c>
      <c r="E1481" s="18">
        <v>2.46</v>
      </c>
      <c r="F1481" s="18">
        <v>2.95</v>
      </c>
      <c r="G1481" s="20" t="s">
        <v>1714</v>
      </c>
      <c r="H1481" s="19" t="str">
        <f>HYPERLINK("https://elefant.by/catalogue/148944218","Посмотреть на сайте ...")</f>
        <v>Посмотреть на сайте ...</v>
      </c>
    </row>
    <row r="1482" spans="1:8" s="16" customFormat="1" x14ac:dyDescent="0.25">
      <c r="A1482" s="17">
        <v>1472</v>
      </c>
      <c r="B1482" s="17" t="s">
        <v>66</v>
      </c>
      <c r="C1482" s="17" t="s">
        <v>1715</v>
      </c>
      <c r="D1482" s="18">
        <v>8</v>
      </c>
      <c r="E1482" s="18">
        <v>4.5599999999999996</v>
      </c>
      <c r="F1482" s="18">
        <v>5.47</v>
      </c>
      <c r="G1482" s="20" t="s">
        <v>1716</v>
      </c>
      <c r="H1482" s="19" t="str">
        <f>HYPERLINK("https://elefant.by/catalogue/149981954","Посмотреть на сайте ...")</f>
        <v>Посмотреть на сайте ...</v>
      </c>
    </row>
    <row r="1483" spans="1:8" s="16" customFormat="1" x14ac:dyDescent="0.25">
      <c r="A1483" s="17">
        <v>1473</v>
      </c>
      <c r="B1483" s="17" t="s">
        <v>66</v>
      </c>
      <c r="C1483" s="17" t="s">
        <v>1717</v>
      </c>
      <c r="D1483" s="18">
        <v>8</v>
      </c>
      <c r="E1483" s="18">
        <v>4.6900000000000004</v>
      </c>
      <c r="F1483" s="18">
        <v>5.63</v>
      </c>
      <c r="G1483" s="20" t="s">
        <v>1718</v>
      </c>
      <c r="H1483" s="19" t="str">
        <f>HYPERLINK("https://elefant.by/catalogue/148944217","Посмотреть на сайте ...")</f>
        <v>Посмотреть на сайте ...</v>
      </c>
    </row>
    <row r="1484" spans="1:8" s="16" customFormat="1" x14ac:dyDescent="0.25">
      <c r="A1484" s="17">
        <v>1474</v>
      </c>
      <c r="B1484" s="17" t="s">
        <v>11</v>
      </c>
      <c r="C1484" s="17" t="s">
        <v>1719</v>
      </c>
      <c r="D1484" s="18">
        <v>5</v>
      </c>
      <c r="E1484" s="18">
        <v>8.4</v>
      </c>
      <c r="F1484" s="18">
        <v>10.08</v>
      </c>
      <c r="G1484" s="20" t="s">
        <v>1720</v>
      </c>
      <c r="H1484" s="19" t="str">
        <f>HYPERLINK("https://elefant.by/catalogue/162620811","Посмотреть на сайте ...")</f>
        <v>Посмотреть на сайте ...</v>
      </c>
    </row>
    <row r="1485" spans="1:8" s="16" customFormat="1" x14ac:dyDescent="0.25">
      <c r="A1485" s="17">
        <v>1475</v>
      </c>
      <c r="B1485" s="17" t="s">
        <v>11</v>
      </c>
      <c r="C1485" s="17" t="s">
        <v>1721</v>
      </c>
      <c r="D1485" s="18">
        <v>1</v>
      </c>
      <c r="E1485" s="18">
        <v>8.4</v>
      </c>
      <c r="F1485" s="18">
        <v>10.08</v>
      </c>
      <c r="G1485" s="20" t="s">
        <v>1722</v>
      </c>
      <c r="H1485" s="19" t="str">
        <f>HYPERLINK("https://elefant.by/catalogue/171284080","Посмотреть на сайте ...")</f>
        <v>Посмотреть на сайте ...</v>
      </c>
    </row>
    <row r="1486" spans="1:8" s="16" customFormat="1" x14ac:dyDescent="0.25">
      <c r="A1486" s="17">
        <v>1476</v>
      </c>
      <c r="B1486" s="17" t="s">
        <v>11</v>
      </c>
      <c r="C1486" s="17" t="s">
        <v>1723</v>
      </c>
      <c r="D1486" s="18">
        <v>5</v>
      </c>
      <c r="E1486" s="18">
        <v>15.09</v>
      </c>
      <c r="F1486" s="18">
        <v>18.11</v>
      </c>
      <c r="G1486" s="20" t="s">
        <v>1724</v>
      </c>
      <c r="H1486" s="19" t="str">
        <f>HYPERLINK("https://elefant.by/catalogue/174165213","Посмотреть на сайте ...")</f>
        <v>Посмотреть на сайте ...</v>
      </c>
    </row>
    <row r="1487" spans="1:8" s="16" customFormat="1" x14ac:dyDescent="0.25">
      <c r="A1487" s="17">
        <v>1477</v>
      </c>
      <c r="B1487" s="17" t="s">
        <v>11</v>
      </c>
      <c r="C1487" s="17" t="s">
        <v>1725</v>
      </c>
      <c r="D1487" s="18">
        <v>5</v>
      </c>
      <c r="E1487" s="18">
        <v>9.6199999999999992</v>
      </c>
      <c r="F1487" s="18">
        <v>11.54</v>
      </c>
      <c r="G1487" s="20" t="s">
        <v>1726</v>
      </c>
      <c r="H1487" s="19" t="str">
        <f>HYPERLINK("https://elefant.by/catalogue/162620812","Посмотреть на сайте ...")</f>
        <v>Посмотреть на сайте ...</v>
      </c>
    </row>
    <row r="1488" spans="1:8" s="16" customFormat="1" x14ac:dyDescent="0.25">
      <c r="A1488" s="17">
        <v>1478</v>
      </c>
      <c r="B1488" s="17" t="s">
        <v>158</v>
      </c>
      <c r="C1488" s="17" t="s">
        <v>1727</v>
      </c>
      <c r="D1488" s="18">
        <v>2</v>
      </c>
      <c r="E1488" s="18">
        <v>2.19</v>
      </c>
      <c r="F1488" s="18">
        <v>2.63</v>
      </c>
      <c r="G1488" s="20" t="s">
        <v>1728</v>
      </c>
      <c r="H1488" s="19" t="str">
        <f>HYPERLINK("https://elefant.by/catalogue/536867026","Посмотреть на сайте ...")</f>
        <v>Посмотреть на сайте ...</v>
      </c>
    </row>
    <row r="1489" spans="1:8" s="16" customFormat="1" x14ac:dyDescent="0.25">
      <c r="A1489" s="17">
        <v>1479</v>
      </c>
      <c r="B1489" s="17" t="s">
        <v>158</v>
      </c>
      <c r="C1489" s="17" t="s">
        <v>1729</v>
      </c>
      <c r="D1489" s="18">
        <v>20</v>
      </c>
      <c r="E1489" s="18">
        <v>2.4300000000000002</v>
      </c>
      <c r="F1489" s="18">
        <v>2.92</v>
      </c>
      <c r="G1489" s="20" t="s">
        <v>1730</v>
      </c>
      <c r="H1489" s="19" t="str">
        <f>HYPERLINK("https://elefant.by/catalogue/372633693","Посмотреть на сайте ...")</f>
        <v>Посмотреть на сайте ...</v>
      </c>
    </row>
    <row r="1490" spans="1:8" s="16" customFormat="1" x14ac:dyDescent="0.25">
      <c r="A1490" s="17">
        <v>1480</v>
      </c>
      <c r="B1490" s="17" t="s">
        <v>20</v>
      </c>
      <c r="C1490" s="17" t="s">
        <v>1731</v>
      </c>
      <c r="D1490" s="18">
        <v>1</v>
      </c>
      <c r="E1490" s="18">
        <v>29.24</v>
      </c>
      <c r="F1490" s="18">
        <v>35.090000000000003</v>
      </c>
      <c r="G1490" s="20" t="s">
        <v>1732</v>
      </c>
      <c r="H1490" s="19" t="str">
        <f>HYPERLINK("https://elefant.by/catalogue/535728919","Посмотреть на сайте ...")</f>
        <v>Посмотреть на сайте ...</v>
      </c>
    </row>
    <row r="1491" spans="1:8" s="16" customFormat="1" x14ac:dyDescent="0.25">
      <c r="A1491" s="17">
        <v>1481</v>
      </c>
      <c r="B1491" s="17" t="s">
        <v>20</v>
      </c>
      <c r="C1491" s="17" t="s">
        <v>1733</v>
      </c>
      <c r="D1491" s="18">
        <v>1</v>
      </c>
      <c r="E1491" s="18">
        <v>45.89</v>
      </c>
      <c r="F1491" s="18">
        <v>55.07</v>
      </c>
      <c r="G1491" s="20" t="s">
        <v>1734</v>
      </c>
      <c r="H1491" s="19" t="str">
        <f>HYPERLINK("https://elefant.by/catalogue/477653107","Посмотреть на сайте ...")</f>
        <v>Посмотреть на сайте ...</v>
      </c>
    </row>
    <row r="1492" spans="1:8" s="16" customFormat="1" x14ac:dyDescent="0.25">
      <c r="A1492" s="17">
        <v>1482</v>
      </c>
      <c r="B1492" s="17" t="s">
        <v>20</v>
      </c>
      <c r="C1492" s="17" t="s">
        <v>3549</v>
      </c>
      <c r="D1492" s="18">
        <v>1</v>
      </c>
      <c r="E1492" s="18">
        <v>34.69</v>
      </c>
      <c r="F1492" s="18">
        <v>41.63</v>
      </c>
      <c r="G1492" s="20" t="s">
        <v>4654</v>
      </c>
      <c r="H1492" s="19" t="str">
        <f>HYPERLINK("https://elefant.by/catalogue/682835851","Посмотреть на сайте ...")</f>
        <v>Посмотреть на сайте ...</v>
      </c>
    </row>
    <row r="1493" spans="1:8" s="16" customFormat="1" x14ac:dyDescent="0.25">
      <c r="A1493" s="17">
        <v>1483</v>
      </c>
      <c r="B1493" s="17" t="s">
        <v>20</v>
      </c>
      <c r="C1493" s="17" t="s">
        <v>1735</v>
      </c>
      <c r="D1493" s="18">
        <v>1</v>
      </c>
      <c r="E1493" s="18">
        <v>74.150000000000006</v>
      </c>
      <c r="F1493" s="18">
        <v>88.98</v>
      </c>
      <c r="G1493" s="20" t="s">
        <v>1736</v>
      </c>
      <c r="H1493" s="19" t="str">
        <f>HYPERLINK("https://elefant.by/catalogue/393187724","Посмотреть на сайте ...")</f>
        <v>Посмотреть на сайте ...</v>
      </c>
    </row>
    <row r="1494" spans="1:8" s="16" customFormat="1" x14ac:dyDescent="0.25">
      <c r="A1494" s="17">
        <v>1484</v>
      </c>
      <c r="B1494" s="17" t="s">
        <v>20</v>
      </c>
      <c r="C1494" s="17" t="s">
        <v>1737</v>
      </c>
      <c r="D1494" s="18">
        <v>1</v>
      </c>
      <c r="E1494" s="18">
        <v>34.68</v>
      </c>
      <c r="F1494" s="18">
        <v>41.62</v>
      </c>
      <c r="G1494" s="20" t="s">
        <v>1738</v>
      </c>
      <c r="H1494" s="19" t="str">
        <f>HYPERLINK("https://elefant.by/catalogue/393187725","Посмотреть на сайте ...")</f>
        <v>Посмотреть на сайте ...</v>
      </c>
    </row>
    <row r="1495" spans="1:8" s="16" customFormat="1" x14ac:dyDescent="0.25">
      <c r="A1495" s="17">
        <v>1485</v>
      </c>
      <c r="B1495" s="17" t="s">
        <v>20</v>
      </c>
      <c r="C1495" s="17" t="s">
        <v>1739</v>
      </c>
      <c r="D1495" s="18">
        <v>1</v>
      </c>
      <c r="E1495" s="18">
        <v>19.05</v>
      </c>
      <c r="F1495" s="18">
        <v>22.86</v>
      </c>
      <c r="G1495" s="20" t="s">
        <v>1740</v>
      </c>
      <c r="H1495" s="19" t="str">
        <f>HYPERLINK("https://elefant.by/catalogue/393187726","Посмотреть на сайте ...")</f>
        <v>Посмотреть на сайте ...</v>
      </c>
    </row>
    <row r="1496" spans="1:8" s="16" customFormat="1" x14ac:dyDescent="0.25">
      <c r="A1496" s="17">
        <v>1486</v>
      </c>
      <c r="B1496" s="17" t="s">
        <v>9</v>
      </c>
      <c r="C1496" s="17" t="s">
        <v>3550</v>
      </c>
      <c r="D1496" s="18">
        <v>12</v>
      </c>
      <c r="E1496" s="18">
        <v>4.55</v>
      </c>
      <c r="F1496" s="18">
        <v>5.46</v>
      </c>
      <c r="G1496" s="20" t="s">
        <v>4655</v>
      </c>
      <c r="H1496" s="19" t="str">
        <f>HYPERLINK("https://elefant.by/catalogue/658778857","Посмотреть на сайте ...")</f>
        <v>Посмотреть на сайте ...</v>
      </c>
    </row>
    <row r="1497" spans="1:8" s="16" customFormat="1" x14ac:dyDescent="0.25">
      <c r="A1497" s="17">
        <v>1487</v>
      </c>
      <c r="B1497" s="17" t="s">
        <v>9</v>
      </c>
      <c r="C1497" s="17" t="s">
        <v>3551</v>
      </c>
      <c r="D1497" s="18">
        <v>12</v>
      </c>
      <c r="E1497" s="18">
        <v>4.55</v>
      </c>
      <c r="F1497" s="18">
        <v>5.46</v>
      </c>
      <c r="G1497" s="20" t="s">
        <v>4656</v>
      </c>
      <c r="H1497" s="19" t="str">
        <f>HYPERLINK("https://elefant.by/catalogue/657978579","Посмотреть на сайте ...")</f>
        <v>Посмотреть на сайте ...</v>
      </c>
    </row>
    <row r="1498" spans="1:8" s="16" customFormat="1" x14ac:dyDescent="0.25">
      <c r="A1498" s="17">
        <v>1488</v>
      </c>
      <c r="B1498" s="17" t="s">
        <v>9</v>
      </c>
      <c r="C1498" s="17" t="s">
        <v>3552</v>
      </c>
      <c r="D1498" s="18">
        <v>12</v>
      </c>
      <c r="E1498" s="18">
        <v>4.5599999999999996</v>
      </c>
      <c r="F1498" s="18">
        <v>5.47</v>
      </c>
      <c r="G1498" s="20" t="s">
        <v>4657</v>
      </c>
      <c r="H1498" s="19" t="str">
        <f>HYPERLINK("https://elefant.by/catalogue/656622150","Посмотреть на сайте ...")</f>
        <v>Посмотреть на сайте ...</v>
      </c>
    </row>
    <row r="1499" spans="1:8" s="16" customFormat="1" x14ac:dyDescent="0.25">
      <c r="A1499" s="17">
        <v>1489</v>
      </c>
      <c r="B1499" s="17" t="s">
        <v>9</v>
      </c>
      <c r="C1499" s="17" t="s">
        <v>3553</v>
      </c>
      <c r="D1499" s="18">
        <v>4</v>
      </c>
      <c r="E1499" s="18">
        <v>3.33</v>
      </c>
      <c r="F1499" s="18">
        <v>4</v>
      </c>
      <c r="G1499" s="20" t="s">
        <v>4658</v>
      </c>
      <c r="H1499" s="19" t="str">
        <f>HYPERLINK("https://elefant.by/catalogue/673134395","Посмотреть на сайте ...")</f>
        <v>Посмотреть на сайте ...</v>
      </c>
    </row>
    <row r="1500" spans="1:8" s="16" customFormat="1" x14ac:dyDescent="0.25">
      <c r="A1500" s="17">
        <v>1490</v>
      </c>
      <c r="B1500" s="17" t="s">
        <v>9</v>
      </c>
      <c r="C1500" s="17" t="s">
        <v>3554</v>
      </c>
      <c r="D1500" s="18">
        <v>6</v>
      </c>
      <c r="E1500" s="18">
        <v>6.42</v>
      </c>
      <c r="F1500" s="18">
        <v>7.7</v>
      </c>
      <c r="G1500" s="20" t="s">
        <v>4659</v>
      </c>
      <c r="H1500" s="19" t="str">
        <f>HYPERLINK("https://elefant.by/catalogue/513007088","Посмотреть на сайте ...")</f>
        <v>Посмотреть на сайте ...</v>
      </c>
    </row>
    <row r="1501" spans="1:8" s="16" customFormat="1" x14ac:dyDescent="0.25">
      <c r="A1501" s="17">
        <v>1491</v>
      </c>
      <c r="B1501" s="17" t="s">
        <v>1324</v>
      </c>
      <c r="C1501" s="17" t="s">
        <v>1741</v>
      </c>
      <c r="D1501" s="18">
        <v>12</v>
      </c>
      <c r="E1501" s="18">
        <v>7.5</v>
      </c>
      <c r="F1501" s="18">
        <v>9</v>
      </c>
      <c r="G1501" s="20" t="s">
        <v>1742</v>
      </c>
      <c r="H1501" s="19" t="str">
        <f>HYPERLINK("https://elefant.by/catalogue/176416650","Посмотреть на сайте ...")</f>
        <v>Посмотреть на сайте ...</v>
      </c>
    </row>
    <row r="1502" spans="1:8" s="16" customFormat="1" x14ac:dyDescent="0.25">
      <c r="A1502" s="17">
        <v>1492</v>
      </c>
      <c r="B1502" s="17" t="s">
        <v>1324</v>
      </c>
      <c r="C1502" s="17" t="s">
        <v>1743</v>
      </c>
      <c r="D1502" s="18">
        <v>12</v>
      </c>
      <c r="E1502" s="18">
        <v>7.5</v>
      </c>
      <c r="F1502" s="18">
        <v>9</v>
      </c>
      <c r="G1502" s="20" t="s">
        <v>1744</v>
      </c>
      <c r="H1502" s="19" t="str">
        <f>HYPERLINK("https://elefant.by/catalogue/176416651","Посмотреть на сайте ...")</f>
        <v>Посмотреть на сайте ...</v>
      </c>
    </row>
    <row r="1503" spans="1:8" s="16" customFormat="1" x14ac:dyDescent="0.25">
      <c r="A1503" s="17">
        <v>1493</v>
      </c>
      <c r="B1503" s="17" t="s">
        <v>20</v>
      </c>
      <c r="C1503" s="17" t="s">
        <v>1745</v>
      </c>
      <c r="D1503" s="18">
        <v>1</v>
      </c>
      <c r="E1503" s="18">
        <v>7.76</v>
      </c>
      <c r="F1503" s="18">
        <v>9.31</v>
      </c>
      <c r="G1503" s="20" t="s">
        <v>1746</v>
      </c>
      <c r="H1503" s="19" t="str">
        <f>HYPERLINK("https://elefant.by/catalogue/575996562","Посмотреть на сайте ...")</f>
        <v>Посмотреть на сайте ...</v>
      </c>
    </row>
    <row r="1504" spans="1:8" s="16" customFormat="1" x14ac:dyDescent="0.25">
      <c r="A1504" s="17">
        <v>1494</v>
      </c>
      <c r="B1504" s="17" t="s">
        <v>20</v>
      </c>
      <c r="C1504" s="17" t="s">
        <v>1747</v>
      </c>
      <c r="D1504" s="18">
        <v>1</v>
      </c>
      <c r="E1504" s="18">
        <v>10.48</v>
      </c>
      <c r="F1504" s="18">
        <v>12.58</v>
      </c>
      <c r="G1504" s="20" t="s">
        <v>1748</v>
      </c>
      <c r="H1504" s="19" t="str">
        <f>HYPERLINK("https://elefant.by/catalogue/575996563","Посмотреть на сайте ...")</f>
        <v>Посмотреть на сайте ...</v>
      </c>
    </row>
    <row r="1505" spans="1:8" s="16" customFormat="1" x14ac:dyDescent="0.25">
      <c r="A1505" s="17">
        <v>1495</v>
      </c>
      <c r="B1505" s="17" t="s">
        <v>20</v>
      </c>
      <c r="C1505" s="17" t="s">
        <v>1749</v>
      </c>
      <c r="D1505" s="18">
        <v>1</v>
      </c>
      <c r="E1505" s="18">
        <v>11.71</v>
      </c>
      <c r="F1505" s="18">
        <v>14.05</v>
      </c>
      <c r="G1505" s="20" t="s">
        <v>1750</v>
      </c>
      <c r="H1505" s="19" t="str">
        <f>HYPERLINK("https://elefant.by/catalogue/620614036","Посмотреть на сайте ...")</f>
        <v>Посмотреть на сайте ...</v>
      </c>
    </row>
    <row r="1506" spans="1:8" s="16" customFormat="1" x14ac:dyDescent="0.25">
      <c r="A1506" s="17">
        <v>1496</v>
      </c>
      <c r="B1506" s="17" t="s">
        <v>1673</v>
      </c>
      <c r="C1506" s="17" t="s">
        <v>1751</v>
      </c>
      <c r="D1506" s="18">
        <v>1</v>
      </c>
      <c r="E1506" s="18">
        <v>23.22</v>
      </c>
      <c r="F1506" s="18">
        <v>27.86</v>
      </c>
      <c r="G1506" s="20" t="s">
        <v>1752</v>
      </c>
      <c r="H1506" s="19" t="str">
        <f>HYPERLINK("https://elefant.by/catalogue/423764581","Посмотреть на сайте ...")</f>
        <v>Посмотреть на сайте ...</v>
      </c>
    </row>
    <row r="1507" spans="1:8" s="16" customFormat="1" x14ac:dyDescent="0.25">
      <c r="A1507" s="17">
        <v>1497</v>
      </c>
      <c r="B1507" s="17" t="s">
        <v>1673</v>
      </c>
      <c r="C1507" s="17" t="s">
        <v>1753</v>
      </c>
      <c r="D1507" s="18">
        <v>1</v>
      </c>
      <c r="E1507" s="18">
        <v>28.33</v>
      </c>
      <c r="F1507" s="18">
        <v>34</v>
      </c>
      <c r="G1507" s="20" t="s">
        <v>1754</v>
      </c>
      <c r="H1507" s="19" t="str">
        <f>HYPERLINK("https://elefant.by/catalogue/317674439","Посмотреть на сайте ...")</f>
        <v>Посмотреть на сайте ...</v>
      </c>
    </row>
    <row r="1508" spans="1:8" s="16" customFormat="1" x14ac:dyDescent="0.25">
      <c r="A1508" s="17">
        <v>1498</v>
      </c>
      <c r="B1508" s="17" t="s">
        <v>3002</v>
      </c>
      <c r="C1508" s="17" t="s">
        <v>3555</v>
      </c>
      <c r="D1508" s="18">
        <v>1</v>
      </c>
      <c r="E1508" s="18">
        <v>4.97</v>
      </c>
      <c r="F1508" s="18">
        <v>5.96</v>
      </c>
      <c r="G1508" s="20" t="s">
        <v>4660</v>
      </c>
      <c r="H1508" s="19" t="str">
        <f>HYPERLINK("https://elefant.by/catalogue/628470446","Посмотреть на сайте ...")</f>
        <v>Посмотреть на сайте ...</v>
      </c>
    </row>
    <row r="1509" spans="1:8" s="16" customFormat="1" x14ac:dyDescent="0.25">
      <c r="A1509" s="17">
        <v>1499</v>
      </c>
      <c r="B1509" s="17" t="s">
        <v>3088</v>
      </c>
      <c r="C1509" s="17" t="s">
        <v>3556</v>
      </c>
      <c r="D1509" s="18">
        <v>16</v>
      </c>
      <c r="E1509" s="18">
        <v>2.2400000000000002</v>
      </c>
      <c r="F1509" s="18">
        <v>2.46</v>
      </c>
      <c r="G1509" s="20" t="s">
        <v>4661</v>
      </c>
      <c r="H1509" s="19" t="str">
        <f>HYPERLINK("https://elefant.by/catalogue/488684108","Посмотреть на сайте ...")</f>
        <v>Посмотреть на сайте ...</v>
      </c>
    </row>
    <row r="1510" spans="1:8" s="16" customFormat="1" x14ac:dyDescent="0.25">
      <c r="A1510" s="17">
        <v>1500</v>
      </c>
      <c r="B1510" s="17" t="s">
        <v>17</v>
      </c>
      <c r="C1510" s="17" t="s">
        <v>1763</v>
      </c>
      <c r="D1510" s="18">
        <v>10</v>
      </c>
      <c r="E1510" s="18">
        <v>2.39</v>
      </c>
      <c r="F1510" s="18">
        <v>2.87</v>
      </c>
      <c r="G1510" s="20" t="s">
        <v>1764</v>
      </c>
      <c r="H1510" s="19" t="str">
        <f>HYPERLINK("https://elefant.by/catalogue/539029598","Посмотреть на сайте ...")</f>
        <v>Посмотреть на сайте ...</v>
      </c>
    </row>
    <row r="1511" spans="1:8" s="16" customFormat="1" x14ac:dyDescent="0.25">
      <c r="A1511" s="17">
        <v>1501</v>
      </c>
      <c r="B1511" s="17" t="s">
        <v>12</v>
      </c>
      <c r="C1511" s="17" t="s">
        <v>1767</v>
      </c>
      <c r="D1511" s="18">
        <v>25</v>
      </c>
      <c r="E1511" s="18">
        <v>2.08</v>
      </c>
      <c r="F1511" s="18">
        <v>2.5</v>
      </c>
      <c r="G1511" s="20" t="s">
        <v>1768</v>
      </c>
      <c r="H1511" s="19" t="str">
        <f>HYPERLINK("https://elefant.by/catalogue/581313777","Посмотреть на сайте ...")</f>
        <v>Посмотреть на сайте ...</v>
      </c>
    </row>
    <row r="1512" spans="1:8" s="16" customFormat="1" x14ac:dyDescent="0.25">
      <c r="A1512" s="17">
        <v>1502</v>
      </c>
      <c r="B1512" s="17" t="s">
        <v>12</v>
      </c>
      <c r="C1512" s="17" t="s">
        <v>1765</v>
      </c>
      <c r="D1512" s="18">
        <v>25</v>
      </c>
      <c r="E1512" s="18">
        <v>3.26</v>
      </c>
      <c r="F1512" s="18">
        <v>3.91</v>
      </c>
      <c r="G1512" s="20" t="s">
        <v>1766</v>
      </c>
      <c r="H1512" s="19" t="str">
        <f>HYPERLINK("https://elefant.by/catalogue/485666809","Посмотреть на сайте ...")</f>
        <v>Посмотреть на сайте ...</v>
      </c>
    </row>
    <row r="1513" spans="1:8" s="16" customFormat="1" x14ac:dyDescent="0.25">
      <c r="A1513" s="17">
        <v>1503</v>
      </c>
      <c r="B1513" s="17" t="s">
        <v>12</v>
      </c>
      <c r="C1513" s="17" t="s">
        <v>3557</v>
      </c>
      <c r="D1513" s="18">
        <v>40</v>
      </c>
      <c r="E1513" s="18">
        <v>1.1000000000000001</v>
      </c>
      <c r="F1513" s="18">
        <v>1.32</v>
      </c>
      <c r="G1513" s="20" t="s">
        <v>4662</v>
      </c>
      <c r="H1513" s="19" t="str">
        <f>HYPERLINK("https://elefant.by/catalogue/567441325","Посмотреть на сайте ...")</f>
        <v>Посмотреть на сайте ...</v>
      </c>
    </row>
    <row r="1514" spans="1:8" s="16" customFormat="1" x14ac:dyDescent="0.25">
      <c r="A1514" s="17">
        <v>1504</v>
      </c>
      <c r="B1514" s="17" t="s">
        <v>12</v>
      </c>
      <c r="C1514" s="17" t="s">
        <v>1769</v>
      </c>
      <c r="D1514" s="18">
        <v>40</v>
      </c>
      <c r="E1514" s="18">
        <v>0.81</v>
      </c>
      <c r="F1514" s="18">
        <v>0.97</v>
      </c>
      <c r="G1514" s="20" t="s">
        <v>1770</v>
      </c>
      <c r="H1514" s="19" t="str">
        <f>HYPERLINK("https://elefant.by/catalogue/567441326","Посмотреть на сайте ...")</f>
        <v>Посмотреть на сайте ...</v>
      </c>
    </row>
    <row r="1515" spans="1:8" s="16" customFormat="1" x14ac:dyDescent="0.25">
      <c r="A1515" s="17">
        <v>1505</v>
      </c>
      <c r="B1515" s="17" t="s">
        <v>63</v>
      </c>
      <c r="C1515" s="17" t="s">
        <v>3558</v>
      </c>
      <c r="D1515" s="18">
        <v>100</v>
      </c>
      <c r="E1515" s="18">
        <v>5.76</v>
      </c>
      <c r="F1515" s="18">
        <v>6.91</v>
      </c>
      <c r="G1515" s="20" t="s">
        <v>4663</v>
      </c>
      <c r="H1515" s="19" t="str">
        <f>HYPERLINK("https://elefant.by/catalogue/468074566","Посмотреть на сайте ...")</f>
        <v>Посмотреть на сайте ...</v>
      </c>
    </row>
    <row r="1516" spans="1:8" s="16" customFormat="1" x14ac:dyDescent="0.25">
      <c r="A1516" s="17">
        <v>1506</v>
      </c>
      <c r="B1516" s="17"/>
      <c r="C1516" s="17" t="s">
        <v>3559</v>
      </c>
      <c r="D1516" s="18">
        <v>100</v>
      </c>
      <c r="E1516" s="18">
        <v>5.82</v>
      </c>
      <c r="F1516" s="18">
        <v>6.98</v>
      </c>
      <c r="G1516" s="20" t="s">
        <v>4664</v>
      </c>
      <c r="H1516" s="19" t="str">
        <f>HYPERLINK("https://elefant.by/catalogue/694059995","Посмотреть на сайте ...")</f>
        <v>Посмотреть на сайте ...</v>
      </c>
    </row>
    <row r="1517" spans="1:8" s="16" customFormat="1" x14ac:dyDescent="0.25">
      <c r="A1517" s="17">
        <v>1507</v>
      </c>
      <c r="B1517" s="17" t="s">
        <v>63</v>
      </c>
      <c r="C1517" s="17" t="s">
        <v>1771</v>
      </c>
      <c r="D1517" s="18">
        <v>5</v>
      </c>
      <c r="E1517" s="18">
        <v>12.32</v>
      </c>
      <c r="F1517" s="18">
        <v>14.78</v>
      </c>
      <c r="G1517" s="20" t="s">
        <v>1772</v>
      </c>
      <c r="H1517" s="19" t="str">
        <f>HYPERLINK("https://elefant.by/catalogue/492375960","Посмотреть на сайте ...")</f>
        <v>Посмотреть на сайте ...</v>
      </c>
    </row>
    <row r="1518" spans="1:8" s="16" customFormat="1" x14ac:dyDescent="0.25">
      <c r="A1518" s="17">
        <v>1508</v>
      </c>
      <c r="B1518" s="17" t="s">
        <v>158</v>
      </c>
      <c r="C1518" s="17" t="s">
        <v>1773</v>
      </c>
      <c r="D1518" s="18">
        <v>5</v>
      </c>
      <c r="E1518" s="18">
        <v>15.43</v>
      </c>
      <c r="F1518" s="18">
        <v>18.52</v>
      </c>
      <c r="G1518" s="20" t="s">
        <v>1774</v>
      </c>
      <c r="H1518" s="19" t="str">
        <f>HYPERLINK("https://elefant.by/catalogue/225108248","Посмотреть на сайте ...")</f>
        <v>Посмотреть на сайте ...</v>
      </c>
    </row>
    <row r="1519" spans="1:8" s="16" customFormat="1" x14ac:dyDescent="0.25">
      <c r="A1519" s="17">
        <v>1509</v>
      </c>
      <c r="B1519" s="17" t="s">
        <v>63</v>
      </c>
      <c r="C1519" s="17" t="s">
        <v>1775</v>
      </c>
      <c r="D1519" s="18">
        <v>10</v>
      </c>
      <c r="E1519" s="18">
        <v>1.37</v>
      </c>
      <c r="F1519" s="18">
        <v>1.64</v>
      </c>
      <c r="G1519" s="20" t="s">
        <v>1776</v>
      </c>
      <c r="H1519" s="19" t="str">
        <f>HYPERLINK("https://elefant.by/catalogue/492375959","Посмотреть на сайте ...")</f>
        <v>Посмотреть на сайте ...</v>
      </c>
    </row>
    <row r="1520" spans="1:8" s="16" customFormat="1" x14ac:dyDescent="0.25">
      <c r="A1520" s="17">
        <v>1510</v>
      </c>
      <c r="B1520" s="17" t="s">
        <v>158</v>
      </c>
      <c r="C1520" s="17" t="s">
        <v>1777</v>
      </c>
      <c r="D1520" s="18">
        <v>10</v>
      </c>
      <c r="E1520" s="18">
        <v>1.73</v>
      </c>
      <c r="F1520" s="18">
        <v>2.08</v>
      </c>
      <c r="G1520" s="20" t="s">
        <v>1778</v>
      </c>
      <c r="H1520" s="19" t="str">
        <f>HYPERLINK("https://elefant.by/catalogue/225108239","Посмотреть на сайте ...")</f>
        <v>Посмотреть на сайте ...</v>
      </c>
    </row>
    <row r="1521" spans="1:8" s="16" customFormat="1" x14ac:dyDescent="0.25">
      <c r="A1521" s="17">
        <v>1511</v>
      </c>
      <c r="B1521" s="17" t="s">
        <v>63</v>
      </c>
      <c r="C1521" s="17" t="s">
        <v>1779</v>
      </c>
      <c r="D1521" s="18">
        <v>20</v>
      </c>
      <c r="E1521" s="18">
        <v>0.7</v>
      </c>
      <c r="F1521" s="18">
        <v>0.84</v>
      </c>
      <c r="G1521" s="20" t="s">
        <v>1780</v>
      </c>
      <c r="H1521" s="19" t="str">
        <f>HYPERLINK("https://elefant.by/catalogue/492375961","Посмотреть на сайте ...")</f>
        <v>Посмотреть на сайте ...</v>
      </c>
    </row>
    <row r="1522" spans="1:8" s="16" customFormat="1" x14ac:dyDescent="0.25">
      <c r="A1522" s="17">
        <v>1512</v>
      </c>
      <c r="B1522" s="17" t="s">
        <v>21</v>
      </c>
      <c r="C1522" s="17" t="s">
        <v>1781</v>
      </c>
      <c r="D1522" s="18">
        <v>10</v>
      </c>
      <c r="E1522" s="18">
        <v>0.81</v>
      </c>
      <c r="F1522" s="18">
        <v>0.97</v>
      </c>
      <c r="G1522" s="20" t="s">
        <v>1782</v>
      </c>
      <c r="H1522" s="19" t="str">
        <f>HYPERLINK("https://elefant.by/catalogue/169603031","Посмотреть на сайте ...")</f>
        <v>Посмотреть на сайте ...</v>
      </c>
    </row>
    <row r="1523" spans="1:8" s="16" customFormat="1" x14ac:dyDescent="0.25">
      <c r="A1523" s="17">
        <v>1513</v>
      </c>
      <c r="B1523" s="17" t="s">
        <v>21</v>
      </c>
      <c r="C1523" s="17" t="s">
        <v>1783</v>
      </c>
      <c r="D1523" s="18">
        <v>10</v>
      </c>
      <c r="E1523" s="18">
        <v>0.81</v>
      </c>
      <c r="F1523" s="18">
        <v>0.97</v>
      </c>
      <c r="G1523" s="20" t="s">
        <v>1784</v>
      </c>
      <c r="H1523" s="19" t="str">
        <f>HYPERLINK("https://elefant.by/catalogue/169603032","Посмотреть на сайте ...")</f>
        <v>Посмотреть на сайте ...</v>
      </c>
    </row>
    <row r="1524" spans="1:8" s="16" customFormat="1" x14ac:dyDescent="0.25">
      <c r="A1524" s="17">
        <v>1514</v>
      </c>
      <c r="B1524" s="17" t="s">
        <v>1785</v>
      </c>
      <c r="C1524" s="17" t="s">
        <v>3560</v>
      </c>
      <c r="D1524" s="18">
        <v>1</v>
      </c>
      <c r="E1524" s="18">
        <v>31.87</v>
      </c>
      <c r="F1524" s="18">
        <v>38.24</v>
      </c>
      <c r="G1524" s="20" t="s">
        <v>4665</v>
      </c>
      <c r="H1524" s="19" t="str">
        <f>HYPERLINK("https://elefant.by/catalogue/312575793","Посмотреть на сайте ...")</f>
        <v>Посмотреть на сайте ...</v>
      </c>
    </row>
    <row r="1525" spans="1:8" s="16" customFormat="1" x14ac:dyDescent="0.25">
      <c r="A1525" s="17">
        <v>1515</v>
      </c>
      <c r="B1525" s="17" t="s">
        <v>1785</v>
      </c>
      <c r="C1525" s="17" t="s">
        <v>1786</v>
      </c>
      <c r="D1525" s="18">
        <v>1</v>
      </c>
      <c r="E1525" s="18">
        <v>8.4</v>
      </c>
      <c r="F1525" s="18">
        <v>10.08</v>
      </c>
      <c r="G1525" s="20" t="s">
        <v>1787</v>
      </c>
      <c r="H1525" s="19" t="str">
        <f>HYPERLINK("https://elefant.by/catalogue/214113902","Посмотреть на сайте ...")</f>
        <v>Посмотреть на сайте ...</v>
      </c>
    </row>
    <row r="1526" spans="1:8" s="16" customFormat="1" x14ac:dyDescent="0.25">
      <c r="A1526" s="17">
        <v>1516</v>
      </c>
      <c r="B1526" s="17" t="s">
        <v>1785</v>
      </c>
      <c r="C1526" s="17" t="s">
        <v>1788</v>
      </c>
      <c r="D1526" s="18">
        <v>1</v>
      </c>
      <c r="E1526" s="18">
        <v>8.39</v>
      </c>
      <c r="F1526" s="18">
        <v>10.07</v>
      </c>
      <c r="G1526" s="20" t="s">
        <v>1789</v>
      </c>
      <c r="H1526" s="19" t="str">
        <f>HYPERLINK("https://elefant.by/catalogue/614122337","Посмотреть на сайте ...")</f>
        <v>Посмотреть на сайте ...</v>
      </c>
    </row>
    <row r="1527" spans="1:8" s="16" customFormat="1" x14ac:dyDescent="0.25">
      <c r="A1527" s="17">
        <v>1517</v>
      </c>
      <c r="B1527" s="17" t="s">
        <v>1785</v>
      </c>
      <c r="C1527" s="17" t="s">
        <v>1790</v>
      </c>
      <c r="D1527" s="18">
        <v>1</v>
      </c>
      <c r="E1527" s="18">
        <v>8.39</v>
      </c>
      <c r="F1527" s="18">
        <v>10.07</v>
      </c>
      <c r="G1527" s="20" t="s">
        <v>1791</v>
      </c>
      <c r="H1527" s="19" t="str">
        <f>HYPERLINK("https://elefant.by/catalogue/614122336","Посмотреть на сайте ...")</f>
        <v>Посмотреть на сайте ...</v>
      </c>
    </row>
    <row r="1528" spans="1:8" s="16" customFormat="1" x14ac:dyDescent="0.25">
      <c r="A1528" s="17">
        <v>1518</v>
      </c>
      <c r="B1528" s="17" t="s">
        <v>1785</v>
      </c>
      <c r="C1528" s="17" t="s">
        <v>1792</v>
      </c>
      <c r="D1528" s="18">
        <v>1</v>
      </c>
      <c r="E1528" s="18">
        <v>36.15</v>
      </c>
      <c r="F1528" s="18">
        <v>43.38</v>
      </c>
      <c r="G1528" s="20" t="s">
        <v>4666</v>
      </c>
      <c r="H1528" s="19" t="str">
        <f>HYPERLINK("https://elefant.by/catalogue/214113886","Посмотреть на сайте ...")</f>
        <v>Посмотреть на сайте ...</v>
      </c>
    </row>
    <row r="1529" spans="1:8" s="16" customFormat="1" x14ac:dyDescent="0.25">
      <c r="A1529" s="17">
        <v>1519</v>
      </c>
      <c r="B1529" s="17" t="s">
        <v>1785</v>
      </c>
      <c r="C1529" s="17" t="s">
        <v>3561</v>
      </c>
      <c r="D1529" s="18">
        <v>1</v>
      </c>
      <c r="E1529" s="18">
        <v>28.69</v>
      </c>
      <c r="F1529" s="18">
        <v>34.43</v>
      </c>
      <c r="G1529" s="20" t="s">
        <v>4667</v>
      </c>
      <c r="H1529" s="19" t="str">
        <f>HYPERLINK("https://elefant.by/catalogue/509180213","Посмотреть на сайте ...")</f>
        <v>Посмотреть на сайте ...</v>
      </c>
    </row>
    <row r="1530" spans="1:8" s="16" customFormat="1" x14ac:dyDescent="0.25">
      <c r="A1530" s="17">
        <v>1520</v>
      </c>
      <c r="B1530" s="17" t="s">
        <v>1785</v>
      </c>
      <c r="C1530" s="17" t="s">
        <v>1794</v>
      </c>
      <c r="D1530" s="18">
        <v>1</v>
      </c>
      <c r="E1530" s="18">
        <v>27.11</v>
      </c>
      <c r="F1530" s="18">
        <v>32.53</v>
      </c>
      <c r="G1530" s="20" t="s">
        <v>1795</v>
      </c>
      <c r="H1530" s="19" t="str">
        <f>HYPERLINK("https://elefant.by/catalogue/346349874","Посмотреть на сайте ...")</f>
        <v>Посмотреть на сайте ...</v>
      </c>
    </row>
    <row r="1531" spans="1:8" s="16" customFormat="1" x14ac:dyDescent="0.25">
      <c r="A1531" s="17">
        <v>1521</v>
      </c>
      <c r="B1531" s="17" t="s">
        <v>1785</v>
      </c>
      <c r="C1531" s="17" t="s">
        <v>3562</v>
      </c>
      <c r="D1531" s="18">
        <v>1</v>
      </c>
      <c r="E1531" s="18">
        <v>20.71</v>
      </c>
      <c r="F1531" s="18">
        <v>24.85</v>
      </c>
      <c r="G1531" s="20" t="s">
        <v>4668</v>
      </c>
      <c r="H1531" s="19" t="str">
        <f>HYPERLINK("https://elefant.by/catalogue/185016155","Посмотреть на сайте ...")</f>
        <v>Посмотреть на сайте ...</v>
      </c>
    </row>
    <row r="1532" spans="1:8" s="16" customFormat="1" x14ac:dyDescent="0.25">
      <c r="A1532" s="17">
        <v>1522</v>
      </c>
      <c r="B1532" s="17" t="s">
        <v>1785</v>
      </c>
      <c r="C1532" s="17" t="s">
        <v>3563</v>
      </c>
      <c r="D1532" s="18">
        <v>1</v>
      </c>
      <c r="E1532" s="18">
        <v>11.84</v>
      </c>
      <c r="F1532" s="18">
        <v>14.21</v>
      </c>
      <c r="G1532" s="20" t="s">
        <v>4669</v>
      </c>
      <c r="H1532" s="19" t="str">
        <f>HYPERLINK("https://elefant.by/catalogue/666890342","Посмотреть на сайте ...")</f>
        <v>Посмотреть на сайте ...</v>
      </c>
    </row>
    <row r="1533" spans="1:8" s="16" customFormat="1" x14ac:dyDescent="0.25">
      <c r="A1533" s="17">
        <v>1523</v>
      </c>
      <c r="B1533" s="17" t="s">
        <v>1785</v>
      </c>
      <c r="C1533" s="17" t="s">
        <v>3564</v>
      </c>
      <c r="D1533" s="18">
        <v>1</v>
      </c>
      <c r="E1533" s="18">
        <v>11.84</v>
      </c>
      <c r="F1533" s="18">
        <v>14.21</v>
      </c>
      <c r="G1533" s="20" t="s">
        <v>4670</v>
      </c>
      <c r="H1533" s="19" t="str">
        <f>HYPERLINK("https://elefant.by/catalogue/346349915","Посмотреть на сайте ...")</f>
        <v>Посмотреть на сайте ...</v>
      </c>
    </row>
    <row r="1534" spans="1:8" s="16" customFormat="1" x14ac:dyDescent="0.25">
      <c r="A1534" s="17">
        <v>1524</v>
      </c>
      <c r="B1534" s="17" t="s">
        <v>1785</v>
      </c>
      <c r="C1534" s="17" t="s">
        <v>1797</v>
      </c>
      <c r="D1534" s="18">
        <v>1</v>
      </c>
      <c r="E1534" s="18">
        <v>10.26</v>
      </c>
      <c r="F1534" s="18">
        <v>12.31</v>
      </c>
      <c r="G1534" s="20" t="s">
        <v>1798</v>
      </c>
      <c r="H1534" s="19" t="str">
        <f>HYPERLINK("https://elefant.by/catalogue/614122354","Посмотреть на сайте ...")</f>
        <v>Посмотреть на сайте ...</v>
      </c>
    </row>
    <row r="1535" spans="1:8" s="16" customFormat="1" x14ac:dyDescent="0.25">
      <c r="A1535" s="17">
        <v>1525</v>
      </c>
      <c r="B1535" s="17" t="s">
        <v>1785</v>
      </c>
      <c r="C1535" s="17" t="s">
        <v>1799</v>
      </c>
      <c r="D1535" s="18">
        <v>1</v>
      </c>
      <c r="E1535" s="18">
        <v>10.26</v>
      </c>
      <c r="F1535" s="18">
        <v>12.31</v>
      </c>
      <c r="G1535" s="20" t="s">
        <v>1800</v>
      </c>
      <c r="H1535" s="19" t="str">
        <f>HYPERLINK("https://elefant.by/catalogue/312575787","Посмотреть на сайте ...")</f>
        <v>Посмотреть на сайте ...</v>
      </c>
    </row>
    <row r="1536" spans="1:8" s="16" customFormat="1" x14ac:dyDescent="0.25">
      <c r="A1536" s="17">
        <v>1526</v>
      </c>
      <c r="B1536" s="17" t="s">
        <v>1785</v>
      </c>
      <c r="C1536" s="17" t="s">
        <v>3565</v>
      </c>
      <c r="D1536" s="18">
        <v>1</v>
      </c>
      <c r="E1536" s="18">
        <v>13.44</v>
      </c>
      <c r="F1536" s="18">
        <v>16.13</v>
      </c>
      <c r="G1536" s="20" t="s">
        <v>4671</v>
      </c>
      <c r="H1536" s="19" t="str">
        <f>HYPERLINK("https://elefant.by/catalogue/702329941","Посмотреть на сайте ...")</f>
        <v>Посмотреть на сайте ...</v>
      </c>
    </row>
    <row r="1537" spans="1:8" s="16" customFormat="1" x14ac:dyDescent="0.25">
      <c r="A1537" s="17">
        <v>1527</v>
      </c>
      <c r="B1537" s="17" t="s">
        <v>1785</v>
      </c>
      <c r="C1537" s="17" t="s">
        <v>3566</v>
      </c>
      <c r="D1537" s="18">
        <v>1</v>
      </c>
      <c r="E1537" s="18">
        <v>35.049999999999997</v>
      </c>
      <c r="F1537" s="18">
        <v>42.06</v>
      </c>
      <c r="G1537" s="20" t="s">
        <v>4672</v>
      </c>
      <c r="H1537" s="19" t="str">
        <f>HYPERLINK("https://elefant.by/catalogue/693125985","Посмотреть на сайте ...")</f>
        <v>Посмотреть на сайте ...</v>
      </c>
    </row>
    <row r="1538" spans="1:8" s="16" customFormat="1" x14ac:dyDescent="0.25">
      <c r="A1538" s="17">
        <v>1528</v>
      </c>
      <c r="B1538" s="17" t="s">
        <v>1785</v>
      </c>
      <c r="C1538" s="17" t="s">
        <v>3567</v>
      </c>
      <c r="D1538" s="18">
        <v>1</v>
      </c>
      <c r="E1538" s="18">
        <v>21.78</v>
      </c>
      <c r="F1538" s="18">
        <v>26.14</v>
      </c>
      <c r="G1538" s="20" t="s">
        <v>4673</v>
      </c>
      <c r="H1538" s="19" t="str">
        <f>HYPERLINK("https://elefant.by/catalogue/509180191","Посмотреть на сайте ...")</f>
        <v>Посмотреть на сайте ...</v>
      </c>
    </row>
    <row r="1539" spans="1:8" s="16" customFormat="1" x14ac:dyDescent="0.25">
      <c r="A1539" s="17">
        <v>1529</v>
      </c>
      <c r="B1539" s="17" t="s">
        <v>1785</v>
      </c>
      <c r="C1539" s="17" t="s">
        <v>3568</v>
      </c>
      <c r="D1539" s="18">
        <v>1</v>
      </c>
      <c r="E1539" s="18">
        <v>21.25</v>
      </c>
      <c r="F1539" s="18">
        <v>25.5</v>
      </c>
      <c r="G1539" s="20" t="s">
        <v>1826</v>
      </c>
      <c r="H1539" s="19" t="str">
        <f>HYPERLINK("https://elefant.by/catalogue/666890344","Посмотреть на сайте ...")</f>
        <v>Посмотреть на сайте ...</v>
      </c>
    </row>
    <row r="1540" spans="1:8" s="16" customFormat="1" x14ac:dyDescent="0.25">
      <c r="A1540" s="17">
        <v>1530</v>
      </c>
      <c r="B1540" s="17" t="s">
        <v>1785</v>
      </c>
      <c r="C1540" s="17" t="s">
        <v>3569</v>
      </c>
      <c r="D1540" s="18">
        <v>1</v>
      </c>
      <c r="E1540" s="18">
        <v>23.9</v>
      </c>
      <c r="F1540" s="18">
        <v>28.68</v>
      </c>
      <c r="G1540" s="20" t="s">
        <v>4674</v>
      </c>
      <c r="H1540" s="19" t="str">
        <f>HYPERLINK("https://elefant.by/catalogue/693125986","Посмотреть на сайте ...")</f>
        <v>Посмотреть на сайте ...</v>
      </c>
    </row>
    <row r="1541" spans="1:8" s="16" customFormat="1" x14ac:dyDescent="0.25">
      <c r="A1541" s="17">
        <v>1531</v>
      </c>
      <c r="B1541" s="17" t="s">
        <v>1785</v>
      </c>
      <c r="C1541" s="17" t="s">
        <v>1801</v>
      </c>
      <c r="D1541" s="18">
        <v>1</v>
      </c>
      <c r="E1541" s="18">
        <v>20.2</v>
      </c>
      <c r="F1541" s="18">
        <v>24.24</v>
      </c>
      <c r="G1541" s="20" t="s">
        <v>4675</v>
      </c>
      <c r="H1541" s="19" t="str">
        <f>HYPERLINK("https://elefant.by/catalogue/614184847","Посмотреть на сайте ...")</f>
        <v>Посмотреть на сайте ...</v>
      </c>
    </row>
    <row r="1542" spans="1:8" s="16" customFormat="1" x14ac:dyDescent="0.25">
      <c r="A1542" s="17">
        <v>1532</v>
      </c>
      <c r="B1542" s="17" t="s">
        <v>1785</v>
      </c>
      <c r="C1542" s="17" t="s">
        <v>1802</v>
      </c>
      <c r="D1542" s="18">
        <v>1</v>
      </c>
      <c r="E1542" s="18">
        <v>20.18</v>
      </c>
      <c r="F1542" s="18">
        <v>24.22</v>
      </c>
      <c r="G1542" s="20" t="s">
        <v>4676</v>
      </c>
      <c r="H1542" s="19" t="str">
        <f>HYPERLINK("https://elefant.by/catalogue/214113887","Посмотреть на сайте ...")</f>
        <v>Посмотреть на сайте ...</v>
      </c>
    </row>
    <row r="1543" spans="1:8" s="16" customFormat="1" x14ac:dyDescent="0.25">
      <c r="A1543" s="17">
        <v>1533</v>
      </c>
      <c r="B1543" s="17" t="s">
        <v>1785</v>
      </c>
      <c r="C1543" s="17" t="s">
        <v>3570</v>
      </c>
      <c r="D1543" s="18">
        <v>1</v>
      </c>
      <c r="E1543" s="18">
        <v>26.04</v>
      </c>
      <c r="F1543" s="18">
        <v>31.25</v>
      </c>
      <c r="G1543" s="20" t="s">
        <v>4677</v>
      </c>
      <c r="H1543" s="19" t="str">
        <f>HYPERLINK("https://elefant.by/catalogue/312596077","Посмотреть на сайте ...")</f>
        <v>Посмотреть на сайте ...</v>
      </c>
    </row>
    <row r="1544" spans="1:8" s="16" customFormat="1" x14ac:dyDescent="0.25">
      <c r="A1544" s="17">
        <v>1534</v>
      </c>
      <c r="B1544" s="17" t="s">
        <v>1785</v>
      </c>
      <c r="C1544" s="17" t="s">
        <v>3571</v>
      </c>
      <c r="D1544" s="18">
        <v>1</v>
      </c>
      <c r="E1544" s="18">
        <v>36.65</v>
      </c>
      <c r="F1544" s="18">
        <v>43.98</v>
      </c>
      <c r="G1544" s="20" t="s">
        <v>4678</v>
      </c>
      <c r="H1544" s="19" t="str">
        <f>HYPERLINK("https://elefant.by/catalogue/509180217","Посмотреть на сайте ...")</f>
        <v>Посмотреть на сайте ...</v>
      </c>
    </row>
    <row r="1545" spans="1:8" s="16" customFormat="1" x14ac:dyDescent="0.25">
      <c r="A1545" s="17">
        <v>1535</v>
      </c>
      <c r="B1545" s="17" t="s">
        <v>1785</v>
      </c>
      <c r="C1545" s="17" t="s">
        <v>3572</v>
      </c>
      <c r="D1545" s="18">
        <v>1</v>
      </c>
      <c r="E1545" s="18">
        <v>22.85</v>
      </c>
      <c r="F1545" s="18">
        <v>27.42</v>
      </c>
      <c r="G1545" s="20" t="s">
        <v>4679</v>
      </c>
      <c r="H1545" s="19" t="str">
        <f>HYPERLINK("https://elefant.by/catalogue/666890343","Посмотреть на сайте ...")</f>
        <v>Посмотреть на сайте ...</v>
      </c>
    </row>
    <row r="1546" spans="1:8" s="16" customFormat="1" x14ac:dyDescent="0.25">
      <c r="A1546" s="17">
        <v>1536</v>
      </c>
      <c r="B1546" s="17" t="s">
        <v>1785</v>
      </c>
      <c r="C1546" s="17" t="s">
        <v>1804</v>
      </c>
      <c r="D1546" s="18">
        <v>1</v>
      </c>
      <c r="E1546" s="18">
        <v>20.73</v>
      </c>
      <c r="F1546" s="18">
        <v>24.88</v>
      </c>
      <c r="G1546" s="20" t="s">
        <v>4680</v>
      </c>
      <c r="H1546" s="19" t="str">
        <f>HYPERLINK("https://elefant.by/catalogue/509180216","Посмотреть на сайте ...")</f>
        <v>Посмотреть на сайте ...</v>
      </c>
    </row>
    <row r="1547" spans="1:8" s="16" customFormat="1" x14ac:dyDescent="0.25">
      <c r="A1547" s="17">
        <v>1537</v>
      </c>
      <c r="B1547" s="17" t="s">
        <v>1785</v>
      </c>
      <c r="C1547" s="17" t="s">
        <v>1805</v>
      </c>
      <c r="D1547" s="18">
        <v>1</v>
      </c>
      <c r="E1547" s="18">
        <v>20.73</v>
      </c>
      <c r="F1547" s="18">
        <v>24.88</v>
      </c>
      <c r="G1547" s="20" t="s">
        <v>1806</v>
      </c>
      <c r="H1547" s="19" t="str">
        <f>HYPERLINK("https://elefant.by/catalogue/509180215","Посмотреть на сайте ...")</f>
        <v>Посмотреть на сайте ...</v>
      </c>
    </row>
    <row r="1548" spans="1:8" s="16" customFormat="1" x14ac:dyDescent="0.25">
      <c r="A1548" s="17">
        <v>1538</v>
      </c>
      <c r="B1548" s="17" t="s">
        <v>1785</v>
      </c>
      <c r="C1548" s="17" t="s">
        <v>1807</v>
      </c>
      <c r="D1548" s="18">
        <v>1</v>
      </c>
      <c r="E1548" s="18">
        <v>46.23</v>
      </c>
      <c r="F1548" s="18">
        <v>55.48</v>
      </c>
      <c r="G1548" s="20" t="s">
        <v>1808</v>
      </c>
      <c r="H1548" s="19" t="str">
        <f>HYPERLINK("https://elefant.by/catalogue/614184842","Посмотреть на сайте ...")</f>
        <v>Посмотреть на сайте ...</v>
      </c>
    </row>
    <row r="1549" spans="1:8" s="16" customFormat="1" x14ac:dyDescent="0.25">
      <c r="A1549" s="17">
        <v>1539</v>
      </c>
      <c r="B1549" s="17" t="s">
        <v>1785</v>
      </c>
      <c r="C1549" s="17" t="s">
        <v>1809</v>
      </c>
      <c r="D1549" s="18">
        <v>1</v>
      </c>
      <c r="E1549" s="18">
        <v>25.52</v>
      </c>
      <c r="F1549" s="18">
        <v>30.62</v>
      </c>
      <c r="G1549" s="20" t="s">
        <v>4681</v>
      </c>
      <c r="H1549" s="19" t="str">
        <f>HYPERLINK("https://elefant.by/catalogue/637996076","Посмотреть на сайте ...")</f>
        <v>Посмотреть на сайте ...</v>
      </c>
    </row>
    <row r="1550" spans="1:8" s="16" customFormat="1" x14ac:dyDescent="0.25">
      <c r="A1550" s="17">
        <v>1540</v>
      </c>
      <c r="B1550" s="17" t="s">
        <v>1785</v>
      </c>
      <c r="C1550" s="17" t="s">
        <v>1811</v>
      </c>
      <c r="D1550" s="18">
        <v>1</v>
      </c>
      <c r="E1550" s="18">
        <v>25.51</v>
      </c>
      <c r="F1550" s="18">
        <v>30.61</v>
      </c>
      <c r="G1550" s="20" t="s">
        <v>1810</v>
      </c>
      <c r="H1550" s="19" t="str">
        <f>HYPERLINK("https://elefant.by/catalogue/614184843","Посмотреть на сайте ...")</f>
        <v>Посмотреть на сайте ...</v>
      </c>
    </row>
    <row r="1551" spans="1:8" s="16" customFormat="1" x14ac:dyDescent="0.25">
      <c r="A1551" s="17">
        <v>1541</v>
      </c>
      <c r="B1551" s="17" t="s">
        <v>1785</v>
      </c>
      <c r="C1551" s="17" t="s">
        <v>3573</v>
      </c>
      <c r="D1551" s="18">
        <v>1</v>
      </c>
      <c r="E1551" s="18">
        <v>11.58</v>
      </c>
      <c r="F1551" s="18">
        <v>13.9</v>
      </c>
      <c r="G1551" s="20" t="s">
        <v>4682</v>
      </c>
      <c r="H1551" s="19" t="str">
        <f>HYPERLINK("https://elefant.by/catalogue/693125959","Посмотреть на сайте ...")</f>
        <v>Посмотреть на сайте ...</v>
      </c>
    </row>
    <row r="1552" spans="1:8" s="16" customFormat="1" x14ac:dyDescent="0.25">
      <c r="A1552" s="17">
        <v>1542</v>
      </c>
      <c r="B1552" s="17" t="s">
        <v>1785</v>
      </c>
      <c r="C1552" s="17" t="s">
        <v>1812</v>
      </c>
      <c r="D1552" s="18">
        <v>1</v>
      </c>
      <c r="E1552" s="18">
        <v>10</v>
      </c>
      <c r="F1552" s="18">
        <v>12</v>
      </c>
      <c r="G1552" s="20" t="s">
        <v>1813</v>
      </c>
      <c r="H1552" s="19" t="str">
        <f>HYPERLINK("https://elefant.by/catalogue/614184812","Посмотреть на сайте ...")</f>
        <v>Посмотреть на сайте ...</v>
      </c>
    </row>
    <row r="1553" spans="1:8" s="16" customFormat="1" x14ac:dyDescent="0.25">
      <c r="A1553" s="17">
        <v>1543</v>
      </c>
      <c r="B1553" s="17" t="s">
        <v>1785</v>
      </c>
      <c r="C1553" s="17" t="s">
        <v>1814</v>
      </c>
      <c r="D1553" s="18">
        <v>1</v>
      </c>
      <c r="E1553" s="18">
        <v>10</v>
      </c>
      <c r="F1553" s="18">
        <v>12</v>
      </c>
      <c r="G1553" s="20" t="s">
        <v>1815</v>
      </c>
      <c r="H1553" s="19" t="str">
        <f>HYPERLINK("https://elefant.by/catalogue/614184810","Посмотреть на сайте ...")</f>
        <v>Посмотреть на сайте ...</v>
      </c>
    </row>
    <row r="1554" spans="1:8" s="16" customFormat="1" x14ac:dyDescent="0.25">
      <c r="A1554" s="17">
        <v>1544</v>
      </c>
      <c r="B1554" s="17" t="s">
        <v>1785</v>
      </c>
      <c r="C1554" s="17" t="s">
        <v>3574</v>
      </c>
      <c r="D1554" s="18">
        <v>1</v>
      </c>
      <c r="E1554" s="18">
        <v>26.56</v>
      </c>
      <c r="F1554" s="18">
        <v>31.87</v>
      </c>
      <c r="G1554" s="20" t="s">
        <v>4683</v>
      </c>
      <c r="H1554" s="19" t="str">
        <f>HYPERLINK("https://elefant.by/catalogue/702329942","Посмотреть на сайте ...")</f>
        <v>Посмотреть на сайте ...</v>
      </c>
    </row>
    <row r="1555" spans="1:8" s="16" customFormat="1" x14ac:dyDescent="0.25">
      <c r="A1555" s="17">
        <v>1545</v>
      </c>
      <c r="B1555" s="17" t="s">
        <v>1785</v>
      </c>
      <c r="C1555" s="17" t="s">
        <v>3575</v>
      </c>
      <c r="D1555" s="18">
        <v>1</v>
      </c>
      <c r="E1555" s="18">
        <v>24.43</v>
      </c>
      <c r="F1555" s="18">
        <v>29.32</v>
      </c>
      <c r="G1555" s="20" t="s">
        <v>4684</v>
      </c>
      <c r="H1555" s="19" t="str">
        <f>HYPERLINK("https://elefant.by/catalogue/185016168","Посмотреть на сайте ...")</f>
        <v>Посмотреть на сайте ...</v>
      </c>
    </row>
    <row r="1556" spans="1:8" s="16" customFormat="1" x14ac:dyDescent="0.25">
      <c r="A1556" s="17">
        <v>1546</v>
      </c>
      <c r="B1556" s="17" t="s">
        <v>1785</v>
      </c>
      <c r="C1556" s="17" t="s">
        <v>1816</v>
      </c>
      <c r="D1556" s="18">
        <v>1</v>
      </c>
      <c r="E1556" s="18">
        <v>18.86</v>
      </c>
      <c r="F1556" s="18">
        <v>22.63</v>
      </c>
      <c r="G1556" s="20" t="s">
        <v>1817</v>
      </c>
      <c r="H1556" s="19" t="str">
        <f>HYPERLINK("https://elefant.by/catalogue/614184841","Посмотреть на сайте ...")</f>
        <v>Посмотреть на сайте ...</v>
      </c>
    </row>
    <row r="1557" spans="1:8" s="16" customFormat="1" x14ac:dyDescent="0.25">
      <c r="A1557" s="17">
        <v>1547</v>
      </c>
      <c r="B1557" s="17" t="s">
        <v>1785</v>
      </c>
      <c r="C1557" s="17" t="s">
        <v>1818</v>
      </c>
      <c r="D1557" s="18">
        <v>1</v>
      </c>
      <c r="E1557" s="18">
        <v>18.86</v>
      </c>
      <c r="F1557" s="18">
        <v>22.63</v>
      </c>
      <c r="G1557" s="20" t="s">
        <v>1819</v>
      </c>
      <c r="H1557" s="19" t="str">
        <f>HYPERLINK("https://elefant.by/catalogue/614184840","Посмотреть на сайте ...")</f>
        <v>Посмотреть на сайте ...</v>
      </c>
    </row>
    <row r="1558" spans="1:8" s="16" customFormat="1" x14ac:dyDescent="0.25">
      <c r="A1558" s="17">
        <v>1548</v>
      </c>
      <c r="B1558" s="17" t="s">
        <v>1785</v>
      </c>
      <c r="C1558" s="17" t="s">
        <v>1820</v>
      </c>
      <c r="D1558" s="18">
        <v>1</v>
      </c>
      <c r="E1558" s="18">
        <v>36.68</v>
      </c>
      <c r="F1558" s="18">
        <v>44.02</v>
      </c>
      <c r="G1558" s="20" t="s">
        <v>4685</v>
      </c>
      <c r="H1558" s="19" t="str">
        <f>HYPERLINK("https://elefant.by/catalogue/214113908","Посмотреть на сайте ...")</f>
        <v>Посмотреть на сайте ...</v>
      </c>
    </row>
    <row r="1559" spans="1:8" s="16" customFormat="1" x14ac:dyDescent="0.25">
      <c r="A1559" s="17">
        <v>1549</v>
      </c>
      <c r="B1559" s="17" t="s">
        <v>1785</v>
      </c>
      <c r="C1559" s="17" t="s">
        <v>3576</v>
      </c>
      <c r="D1559" s="18">
        <v>1</v>
      </c>
      <c r="E1559" s="18">
        <v>36.65</v>
      </c>
      <c r="F1559" s="18">
        <v>43.98</v>
      </c>
      <c r="G1559" s="20" t="s">
        <v>4686</v>
      </c>
      <c r="H1559" s="19" t="str">
        <f>HYPERLINK("https://elefant.by/catalogue/312575789","Посмотреть на сайте ...")</f>
        <v>Посмотреть на сайте ...</v>
      </c>
    </row>
    <row r="1560" spans="1:8" s="16" customFormat="1" x14ac:dyDescent="0.25">
      <c r="A1560" s="17">
        <v>1550</v>
      </c>
      <c r="B1560" s="17" t="s">
        <v>1785</v>
      </c>
      <c r="C1560" s="17" t="s">
        <v>1821</v>
      </c>
      <c r="D1560" s="18">
        <v>1</v>
      </c>
      <c r="E1560" s="18">
        <v>20.72</v>
      </c>
      <c r="F1560" s="18">
        <v>24.86</v>
      </c>
      <c r="G1560" s="20" t="s">
        <v>1822</v>
      </c>
      <c r="H1560" s="19" t="str">
        <f>HYPERLINK("https://elefant.by/catalogue/346349919","Посмотреть на сайте ...")</f>
        <v>Посмотреть на сайте ...</v>
      </c>
    </row>
    <row r="1561" spans="1:8" s="16" customFormat="1" x14ac:dyDescent="0.25">
      <c r="A1561" s="17">
        <v>1551</v>
      </c>
      <c r="B1561" s="17" t="s">
        <v>1785</v>
      </c>
      <c r="C1561" s="17" t="s">
        <v>3577</v>
      </c>
      <c r="D1561" s="18">
        <v>1</v>
      </c>
      <c r="E1561" s="18">
        <v>20.71</v>
      </c>
      <c r="F1561" s="18">
        <v>24.85</v>
      </c>
      <c r="G1561" s="20" t="s">
        <v>1822</v>
      </c>
      <c r="H1561" s="19" t="str">
        <f>HYPERLINK("https://elefant.by/catalogue/214113909","Посмотреть на сайте ...")</f>
        <v>Посмотреть на сайте ...</v>
      </c>
    </row>
    <row r="1562" spans="1:8" s="16" customFormat="1" x14ac:dyDescent="0.25">
      <c r="A1562" s="17">
        <v>1552</v>
      </c>
      <c r="B1562" s="17" t="s">
        <v>1785</v>
      </c>
      <c r="C1562" s="17" t="s">
        <v>3578</v>
      </c>
      <c r="D1562" s="18">
        <v>1</v>
      </c>
      <c r="E1562" s="18">
        <v>27.62</v>
      </c>
      <c r="F1562" s="18">
        <v>33.14</v>
      </c>
      <c r="G1562" s="20"/>
      <c r="H1562" s="19" t="str">
        <f>HYPERLINK("https://elefant.by/catalogue/693125987","Посмотреть на сайте ...")</f>
        <v>Посмотреть на сайте ...</v>
      </c>
    </row>
    <row r="1563" spans="1:8" s="16" customFormat="1" x14ac:dyDescent="0.25">
      <c r="A1563" s="17">
        <v>1553</v>
      </c>
      <c r="B1563" s="17" t="s">
        <v>1785</v>
      </c>
      <c r="C1563" s="17" t="s">
        <v>1823</v>
      </c>
      <c r="D1563" s="18">
        <v>1</v>
      </c>
      <c r="E1563" s="18">
        <v>25.51</v>
      </c>
      <c r="F1563" s="18">
        <v>30.61</v>
      </c>
      <c r="G1563" s="20" t="s">
        <v>1824</v>
      </c>
      <c r="H1563" s="19" t="str">
        <f>HYPERLINK("https://elefant.by/catalogue/312575790","Посмотреть на сайте ...")</f>
        <v>Посмотреть на сайте ...</v>
      </c>
    </row>
    <row r="1564" spans="1:8" s="16" customFormat="1" x14ac:dyDescent="0.25">
      <c r="A1564" s="17">
        <v>1554</v>
      </c>
      <c r="B1564" s="17" t="s">
        <v>1785</v>
      </c>
      <c r="C1564" s="17" t="s">
        <v>1825</v>
      </c>
      <c r="D1564" s="18">
        <v>1</v>
      </c>
      <c r="E1564" s="18">
        <v>9.19</v>
      </c>
      <c r="F1564" s="18">
        <v>11.03</v>
      </c>
      <c r="G1564" s="20" t="s">
        <v>1826</v>
      </c>
      <c r="H1564" s="19" t="str">
        <f>HYPERLINK("https://elefant.by/catalogue/614184808","Посмотреть на сайте ...")</f>
        <v>Посмотреть на сайте ...</v>
      </c>
    </row>
    <row r="1565" spans="1:8" s="16" customFormat="1" x14ac:dyDescent="0.25">
      <c r="A1565" s="17">
        <v>1555</v>
      </c>
      <c r="B1565" s="17" t="s">
        <v>1785</v>
      </c>
      <c r="C1565" s="17" t="s">
        <v>1827</v>
      </c>
      <c r="D1565" s="18">
        <v>1</v>
      </c>
      <c r="E1565" s="18">
        <v>9.19</v>
      </c>
      <c r="F1565" s="18">
        <v>11.03</v>
      </c>
      <c r="G1565" s="20" t="s">
        <v>1828</v>
      </c>
      <c r="H1565" s="19" t="str">
        <f>HYPERLINK("https://elefant.by/catalogue/614184809","Посмотреть на сайте ...")</f>
        <v>Посмотреть на сайте ...</v>
      </c>
    </row>
    <row r="1566" spans="1:8" s="16" customFormat="1" x14ac:dyDescent="0.25">
      <c r="A1566" s="17">
        <v>1556</v>
      </c>
      <c r="B1566" s="17" t="s">
        <v>1785</v>
      </c>
      <c r="C1566" s="17" t="s">
        <v>1829</v>
      </c>
      <c r="D1566" s="18">
        <v>1</v>
      </c>
      <c r="E1566" s="18">
        <v>9.19</v>
      </c>
      <c r="F1566" s="18">
        <v>11.03</v>
      </c>
      <c r="G1566" s="20" t="s">
        <v>1830</v>
      </c>
      <c r="H1566" s="19" t="str">
        <f>HYPERLINK("https://elefant.by/catalogue/614184806","Посмотреть на сайте ...")</f>
        <v>Посмотреть на сайте ...</v>
      </c>
    </row>
    <row r="1567" spans="1:8" s="16" customFormat="1" x14ac:dyDescent="0.25">
      <c r="A1567" s="17">
        <v>1557</v>
      </c>
      <c r="B1567" s="17" t="s">
        <v>1785</v>
      </c>
      <c r="C1567" s="17" t="s">
        <v>1831</v>
      </c>
      <c r="D1567" s="18">
        <v>1</v>
      </c>
      <c r="E1567" s="18">
        <v>20.73</v>
      </c>
      <c r="F1567" s="18">
        <v>24.88</v>
      </c>
      <c r="G1567" s="20" t="s">
        <v>4687</v>
      </c>
      <c r="H1567" s="19" t="str">
        <f>HYPERLINK("https://elefant.by/catalogue/614184850","Посмотреть на сайте ...")</f>
        <v>Посмотреть на сайте ...</v>
      </c>
    </row>
    <row r="1568" spans="1:8" s="16" customFormat="1" x14ac:dyDescent="0.25">
      <c r="A1568" s="17">
        <v>1558</v>
      </c>
      <c r="B1568" s="17" t="s">
        <v>1785</v>
      </c>
      <c r="C1568" s="17" t="s">
        <v>1832</v>
      </c>
      <c r="D1568" s="18">
        <v>1</v>
      </c>
      <c r="E1568" s="18">
        <v>33.22</v>
      </c>
      <c r="F1568" s="18">
        <v>39.86</v>
      </c>
      <c r="G1568" s="20" t="s">
        <v>1796</v>
      </c>
      <c r="H1568" s="19" t="str">
        <f>HYPERLINK("https://elefant.by/catalogue/312575792","Посмотреть на сайте ...")</f>
        <v>Посмотреть на сайте ...</v>
      </c>
    </row>
    <row r="1569" spans="1:8" s="16" customFormat="1" x14ac:dyDescent="0.25">
      <c r="A1569" s="17">
        <v>1559</v>
      </c>
      <c r="B1569" s="17" t="s">
        <v>3579</v>
      </c>
      <c r="C1569" s="17" t="s">
        <v>3580</v>
      </c>
      <c r="D1569" s="18">
        <v>1</v>
      </c>
      <c r="E1569" s="18">
        <v>3.35</v>
      </c>
      <c r="F1569" s="18">
        <v>4.0199999999999996</v>
      </c>
      <c r="G1569" s="20" t="s">
        <v>4688</v>
      </c>
      <c r="H1569" s="19" t="str">
        <f>HYPERLINK("https://elefant.by/catalogue/647613444","Посмотреть на сайте ...")</f>
        <v>Посмотреть на сайте ...</v>
      </c>
    </row>
    <row r="1570" spans="1:8" s="16" customFormat="1" x14ac:dyDescent="0.25">
      <c r="A1570" s="17">
        <v>1560</v>
      </c>
      <c r="B1570" s="17" t="s">
        <v>3579</v>
      </c>
      <c r="C1570" s="17" t="s">
        <v>1833</v>
      </c>
      <c r="D1570" s="18">
        <v>10</v>
      </c>
      <c r="E1570" s="18">
        <v>0.28000000000000003</v>
      </c>
      <c r="F1570" s="18">
        <v>0.34</v>
      </c>
      <c r="G1570" s="20" t="s">
        <v>1834</v>
      </c>
      <c r="H1570" s="19" t="str">
        <f>HYPERLINK("https://elefant.by/catalogue/588432830","Посмотреть на сайте ...")</f>
        <v>Посмотреть на сайте ...</v>
      </c>
    </row>
    <row r="1571" spans="1:8" s="16" customFormat="1" x14ac:dyDescent="0.25">
      <c r="A1571" s="17">
        <v>1561</v>
      </c>
      <c r="B1571" s="17" t="s">
        <v>3579</v>
      </c>
      <c r="C1571" s="17" t="s">
        <v>3581</v>
      </c>
      <c r="D1571" s="18">
        <v>10</v>
      </c>
      <c r="E1571" s="18">
        <v>0.31</v>
      </c>
      <c r="F1571" s="18">
        <v>0.37</v>
      </c>
      <c r="G1571" s="20" t="s">
        <v>4689</v>
      </c>
      <c r="H1571" s="19" t="str">
        <f>HYPERLINK("https://elefant.by/catalogue/642030831","Посмотреть на сайте ...")</f>
        <v>Посмотреть на сайте ...</v>
      </c>
    </row>
    <row r="1572" spans="1:8" s="16" customFormat="1" x14ac:dyDescent="0.25">
      <c r="A1572" s="17">
        <v>1562</v>
      </c>
      <c r="B1572" s="17" t="s">
        <v>3579</v>
      </c>
      <c r="C1572" s="17" t="s">
        <v>3582</v>
      </c>
      <c r="D1572" s="18">
        <v>1</v>
      </c>
      <c r="E1572" s="18">
        <v>0.38</v>
      </c>
      <c r="F1572" s="18">
        <v>0.46</v>
      </c>
      <c r="G1572" s="20" t="s">
        <v>1842</v>
      </c>
      <c r="H1572" s="19" t="str">
        <f>HYPERLINK("https://elefant.by/catalogue/689583059","Посмотреть на сайте ...")</f>
        <v>Посмотреть на сайте ...</v>
      </c>
    </row>
    <row r="1573" spans="1:8" s="16" customFormat="1" x14ac:dyDescent="0.25">
      <c r="A1573" s="17">
        <v>1563</v>
      </c>
      <c r="B1573" s="17" t="s">
        <v>3579</v>
      </c>
      <c r="C1573" s="17" t="s">
        <v>3583</v>
      </c>
      <c r="D1573" s="18">
        <v>10</v>
      </c>
      <c r="E1573" s="18">
        <v>0.38</v>
      </c>
      <c r="F1573" s="18">
        <v>0.46</v>
      </c>
      <c r="G1573" s="20" t="s">
        <v>1842</v>
      </c>
      <c r="H1573" s="19" t="str">
        <f>HYPERLINK("https://elefant.by/catalogue/173040311","Посмотреть на сайте ...")</f>
        <v>Посмотреть на сайте ...</v>
      </c>
    </row>
    <row r="1574" spans="1:8" s="16" customFormat="1" x14ac:dyDescent="0.25">
      <c r="A1574" s="17">
        <v>1564</v>
      </c>
      <c r="B1574" s="17" t="s">
        <v>3579</v>
      </c>
      <c r="C1574" s="17" t="s">
        <v>1835</v>
      </c>
      <c r="D1574" s="18">
        <v>1</v>
      </c>
      <c r="E1574" s="18">
        <v>2.4</v>
      </c>
      <c r="F1574" s="18">
        <v>2.88</v>
      </c>
      <c r="G1574" s="20" t="s">
        <v>1836</v>
      </c>
      <c r="H1574" s="19" t="str">
        <f>HYPERLINK("https://elefant.by/catalogue/441266022","Посмотреть на сайте ...")</f>
        <v>Посмотреть на сайте ...</v>
      </c>
    </row>
    <row r="1575" spans="1:8" s="16" customFormat="1" x14ac:dyDescent="0.25">
      <c r="A1575" s="17">
        <v>1565</v>
      </c>
      <c r="B1575" s="17" t="s">
        <v>3579</v>
      </c>
      <c r="C1575" s="17" t="s">
        <v>1837</v>
      </c>
      <c r="D1575" s="18">
        <v>10</v>
      </c>
      <c r="E1575" s="18">
        <v>0.65</v>
      </c>
      <c r="F1575" s="18">
        <v>0.78</v>
      </c>
      <c r="G1575" s="20" t="s">
        <v>1838</v>
      </c>
      <c r="H1575" s="19" t="str">
        <f>HYPERLINK("https://elefant.by/catalogue/173040313","Посмотреть на сайте ...")</f>
        <v>Посмотреть на сайте ...</v>
      </c>
    </row>
    <row r="1576" spans="1:8" s="16" customFormat="1" x14ac:dyDescent="0.25">
      <c r="A1576" s="17">
        <v>1566</v>
      </c>
      <c r="B1576" s="17" t="s">
        <v>3579</v>
      </c>
      <c r="C1576" s="17" t="s">
        <v>3584</v>
      </c>
      <c r="D1576" s="18">
        <v>1</v>
      </c>
      <c r="E1576" s="18">
        <v>0.68</v>
      </c>
      <c r="F1576" s="18">
        <v>0.82</v>
      </c>
      <c r="G1576" s="20" t="s">
        <v>1840</v>
      </c>
      <c r="H1576" s="19" t="str">
        <f>HYPERLINK("https://elefant.by/catalogue/689583058","Посмотреть на сайте ...")</f>
        <v>Посмотреть на сайте ...</v>
      </c>
    </row>
    <row r="1577" spans="1:8" s="16" customFormat="1" x14ac:dyDescent="0.25">
      <c r="A1577" s="17">
        <v>1567</v>
      </c>
      <c r="B1577" s="17" t="s">
        <v>3579</v>
      </c>
      <c r="C1577" s="17" t="s">
        <v>1839</v>
      </c>
      <c r="D1577" s="18">
        <v>10</v>
      </c>
      <c r="E1577" s="18">
        <v>0.68</v>
      </c>
      <c r="F1577" s="18">
        <v>0.82</v>
      </c>
      <c r="G1577" s="20" t="s">
        <v>1840</v>
      </c>
      <c r="H1577" s="19" t="str">
        <f>HYPERLINK("https://elefant.by/catalogue/173040314","Посмотреть на сайте ...")</f>
        <v>Посмотреть на сайте ...</v>
      </c>
    </row>
    <row r="1578" spans="1:8" s="16" customFormat="1" x14ac:dyDescent="0.25">
      <c r="A1578" s="17">
        <v>1568</v>
      </c>
      <c r="B1578" s="17" t="s">
        <v>3579</v>
      </c>
      <c r="C1578" s="17" t="s">
        <v>3585</v>
      </c>
      <c r="D1578" s="18">
        <v>10</v>
      </c>
      <c r="E1578" s="18">
        <v>0.7</v>
      </c>
      <c r="F1578" s="18">
        <v>0.84</v>
      </c>
      <c r="G1578" s="20" t="s">
        <v>4690</v>
      </c>
      <c r="H1578" s="19" t="str">
        <f>HYPERLINK("https://elefant.by/catalogue/441266020","Посмотреть на сайте ...")</f>
        <v>Посмотреть на сайте ...</v>
      </c>
    </row>
    <row r="1579" spans="1:8" s="16" customFormat="1" x14ac:dyDescent="0.25">
      <c r="A1579" s="17">
        <v>1569</v>
      </c>
      <c r="B1579" s="17" t="s">
        <v>3579</v>
      </c>
      <c r="C1579" s="17" t="s">
        <v>1841</v>
      </c>
      <c r="D1579" s="18">
        <v>10</v>
      </c>
      <c r="E1579" s="18">
        <v>0.37</v>
      </c>
      <c r="F1579" s="18">
        <v>0.44</v>
      </c>
      <c r="G1579" s="20" t="s">
        <v>4691</v>
      </c>
      <c r="H1579" s="19" t="str">
        <f>HYPERLINK("https://elefant.by/catalogue/592345950","Посмотреть на сайте ...")</f>
        <v>Посмотреть на сайте ...</v>
      </c>
    </row>
    <row r="1580" spans="1:8" s="16" customFormat="1" x14ac:dyDescent="0.25">
      <c r="A1580" s="17">
        <v>1570</v>
      </c>
      <c r="B1580" s="17" t="s">
        <v>3579</v>
      </c>
      <c r="C1580" s="17" t="s">
        <v>1843</v>
      </c>
      <c r="D1580" s="18">
        <v>10</v>
      </c>
      <c r="E1580" s="18">
        <v>0.7</v>
      </c>
      <c r="F1580" s="18">
        <v>0.84</v>
      </c>
      <c r="G1580" s="20" t="s">
        <v>1844</v>
      </c>
      <c r="H1580" s="19" t="str">
        <f>HYPERLINK("https://elefant.by/catalogue/489597661","Посмотреть на сайте ...")</f>
        <v>Посмотреть на сайте ...</v>
      </c>
    </row>
    <row r="1581" spans="1:8" s="16" customFormat="1" x14ac:dyDescent="0.25">
      <c r="A1581" s="17">
        <v>1571</v>
      </c>
      <c r="B1581" s="17" t="s">
        <v>3579</v>
      </c>
      <c r="C1581" s="17" t="s">
        <v>1845</v>
      </c>
      <c r="D1581" s="18">
        <v>10</v>
      </c>
      <c r="E1581" s="18">
        <v>0.38</v>
      </c>
      <c r="F1581" s="18">
        <v>0.46</v>
      </c>
      <c r="G1581" s="20" t="s">
        <v>1842</v>
      </c>
      <c r="H1581" s="19" t="str">
        <f>HYPERLINK("https://elefant.by/catalogue/176483532","Посмотреть на сайте ...")</f>
        <v>Посмотреть на сайте ...</v>
      </c>
    </row>
    <row r="1582" spans="1:8" s="16" customFormat="1" x14ac:dyDescent="0.25">
      <c r="A1582" s="17">
        <v>1572</v>
      </c>
      <c r="B1582" s="17" t="s">
        <v>3579</v>
      </c>
      <c r="C1582" s="17" t="s">
        <v>3586</v>
      </c>
      <c r="D1582" s="18">
        <v>1</v>
      </c>
      <c r="E1582" s="18">
        <v>0.68</v>
      </c>
      <c r="F1582" s="18">
        <v>0.82</v>
      </c>
      <c r="G1582" s="20" t="s">
        <v>1847</v>
      </c>
      <c r="H1582" s="19" t="str">
        <f>HYPERLINK("https://elefant.by/catalogue/689583055","Посмотреть на сайте ...")</f>
        <v>Посмотреть на сайте ...</v>
      </c>
    </row>
    <row r="1583" spans="1:8" s="16" customFormat="1" x14ac:dyDescent="0.25">
      <c r="A1583" s="17">
        <v>1573</v>
      </c>
      <c r="B1583" s="17" t="s">
        <v>3579</v>
      </c>
      <c r="C1583" s="17" t="s">
        <v>1846</v>
      </c>
      <c r="D1583" s="18">
        <v>10</v>
      </c>
      <c r="E1583" s="18">
        <v>0.68</v>
      </c>
      <c r="F1583" s="18">
        <v>0.82</v>
      </c>
      <c r="G1583" s="20" t="s">
        <v>1847</v>
      </c>
      <c r="H1583" s="19" t="str">
        <f>HYPERLINK("https://elefant.by/catalogue/400784421","Посмотреть на сайте ...")</f>
        <v>Посмотреть на сайте ...</v>
      </c>
    </row>
    <row r="1584" spans="1:8" s="16" customFormat="1" x14ac:dyDescent="0.25">
      <c r="A1584" s="17">
        <v>1574</v>
      </c>
      <c r="B1584" s="17" t="s">
        <v>3579</v>
      </c>
      <c r="C1584" s="17" t="s">
        <v>3587</v>
      </c>
      <c r="D1584" s="18">
        <v>2</v>
      </c>
      <c r="E1584" s="18">
        <v>1.35</v>
      </c>
      <c r="F1584" s="18">
        <v>1.62</v>
      </c>
      <c r="G1584" s="20"/>
      <c r="H1584" s="19" t="str">
        <f>HYPERLINK("https://elefant.by/catalogue/689583056","Посмотреть на сайте ...")</f>
        <v>Посмотреть на сайте ...</v>
      </c>
    </row>
    <row r="1585" spans="1:8" s="16" customFormat="1" x14ac:dyDescent="0.25">
      <c r="A1585" s="17">
        <v>1575</v>
      </c>
      <c r="B1585" s="17" t="s">
        <v>3579</v>
      </c>
      <c r="C1585" s="17" t="s">
        <v>3588</v>
      </c>
      <c r="D1585" s="18">
        <v>3</v>
      </c>
      <c r="E1585" s="18">
        <v>1.62</v>
      </c>
      <c r="F1585" s="18">
        <v>1.94</v>
      </c>
      <c r="G1585" s="20"/>
      <c r="H1585" s="19" t="str">
        <f>HYPERLINK("https://elefant.by/catalogue/699609913","Посмотреть на сайте ...")</f>
        <v>Посмотреть на сайте ...</v>
      </c>
    </row>
    <row r="1586" spans="1:8" s="16" customFormat="1" x14ac:dyDescent="0.25">
      <c r="A1586" s="17">
        <v>1576</v>
      </c>
      <c r="B1586" s="17" t="s">
        <v>3579</v>
      </c>
      <c r="C1586" s="17" t="s">
        <v>3589</v>
      </c>
      <c r="D1586" s="18">
        <v>3</v>
      </c>
      <c r="E1586" s="18">
        <v>1.62</v>
      </c>
      <c r="F1586" s="18">
        <v>1.94</v>
      </c>
      <c r="G1586" s="20"/>
      <c r="H1586" s="19" t="str">
        <f>HYPERLINK("https://elefant.by/catalogue/689583053","Посмотреть на сайте ...")</f>
        <v>Посмотреть на сайте ...</v>
      </c>
    </row>
    <row r="1587" spans="1:8" s="16" customFormat="1" x14ac:dyDescent="0.25">
      <c r="A1587" s="17">
        <v>1577</v>
      </c>
      <c r="B1587" s="17" t="s">
        <v>3579</v>
      </c>
      <c r="C1587" s="17" t="s">
        <v>1848</v>
      </c>
      <c r="D1587" s="18">
        <v>12</v>
      </c>
      <c r="E1587" s="18">
        <v>1.62</v>
      </c>
      <c r="F1587" s="18">
        <v>1.94</v>
      </c>
      <c r="G1587" s="20" t="s">
        <v>1849</v>
      </c>
      <c r="H1587" s="19" t="str">
        <f>HYPERLINK("https://elefant.by/catalogue/400784423","Посмотреть на сайте ...")</f>
        <v>Посмотреть на сайте ...</v>
      </c>
    </row>
    <row r="1588" spans="1:8" s="16" customFormat="1" x14ac:dyDescent="0.25">
      <c r="A1588" s="17">
        <v>1578</v>
      </c>
      <c r="B1588" s="17" t="s">
        <v>3579</v>
      </c>
      <c r="C1588" s="17" t="s">
        <v>1850</v>
      </c>
      <c r="D1588" s="18">
        <v>10</v>
      </c>
      <c r="E1588" s="18">
        <v>1.08</v>
      </c>
      <c r="F1588" s="18">
        <v>1.3</v>
      </c>
      <c r="G1588" s="20" t="s">
        <v>1851</v>
      </c>
      <c r="H1588" s="19" t="str">
        <f>HYPERLINK("https://elefant.by/catalogue/315061781","Посмотреть на сайте ...")</f>
        <v>Посмотреть на сайте ...</v>
      </c>
    </row>
    <row r="1589" spans="1:8" s="16" customFormat="1" x14ac:dyDescent="0.25">
      <c r="A1589" s="17">
        <v>1579</v>
      </c>
      <c r="B1589" s="17" t="s">
        <v>3579</v>
      </c>
      <c r="C1589" s="17" t="s">
        <v>3590</v>
      </c>
      <c r="D1589" s="18">
        <v>10</v>
      </c>
      <c r="E1589" s="18">
        <v>0.26</v>
      </c>
      <c r="F1589" s="18">
        <v>0.31</v>
      </c>
      <c r="G1589" s="20" t="s">
        <v>4692</v>
      </c>
      <c r="H1589" s="19" t="str">
        <f>HYPERLINK("https://elefant.by/catalogue/642030830","Посмотреть на сайте ...")</f>
        <v>Посмотреть на сайте ...</v>
      </c>
    </row>
    <row r="1590" spans="1:8" s="16" customFormat="1" x14ac:dyDescent="0.25">
      <c r="A1590" s="17">
        <v>1580</v>
      </c>
      <c r="B1590" s="17" t="s">
        <v>3579</v>
      </c>
      <c r="C1590" s="17" t="s">
        <v>1852</v>
      </c>
      <c r="D1590" s="18">
        <v>5</v>
      </c>
      <c r="E1590" s="18">
        <v>0.28999999999999998</v>
      </c>
      <c r="F1590" s="18">
        <v>0.35</v>
      </c>
      <c r="G1590" s="20" t="s">
        <v>1853</v>
      </c>
      <c r="H1590" s="19" t="str">
        <f>HYPERLINK("https://elefant.by/catalogue/197881447","Посмотреть на сайте ...")</f>
        <v>Посмотреть на сайте ...</v>
      </c>
    </row>
    <row r="1591" spans="1:8" s="16" customFormat="1" x14ac:dyDescent="0.25">
      <c r="A1591" s="17">
        <v>1581</v>
      </c>
      <c r="B1591" s="17" t="s">
        <v>3579</v>
      </c>
      <c r="C1591" s="17" t="s">
        <v>3591</v>
      </c>
      <c r="D1591" s="18">
        <v>10</v>
      </c>
      <c r="E1591" s="18">
        <v>0.52</v>
      </c>
      <c r="F1591" s="18">
        <v>0.62</v>
      </c>
      <c r="G1591" s="20" t="s">
        <v>4693</v>
      </c>
      <c r="H1591" s="19" t="str">
        <f>HYPERLINK("https://elefant.by/catalogue/642030829","Посмотреть на сайте ...")</f>
        <v>Посмотреть на сайте ...</v>
      </c>
    </row>
    <row r="1592" spans="1:8" s="16" customFormat="1" x14ac:dyDescent="0.25">
      <c r="A1592" s="17">
        <v>1582</v>
      </c>
      <c r="B1592" s="17" t="s">
        <v>3579</v>
      </c>
      <c r="C1592" s="17" t="s">
        <v>1854</v>
      </c>
      <c r="D1592" s="18">
        <v>10</v>
      </c>
      <c r="E1592" s="18">
        <v>0.41</v>
      </c>
      <c r="F1592" s="18">
        <v>0.49</v>
      </c>
      <c r="G1592" s="20" t="s">
        <v>1855</v>
      </c>
      <c r="H1592" s="19" t="str">
        <f>HYPERLINK("https://elefant.by/catalogue/176483530","Посмотреть на сайте ...")</f>
        <v>Посмотреть на сайте ...</v>
      </c>
    </row>
    <row r="1593" spans="1:8" s="16" customFormat="1" x14ac:dyDescent="0.25">
      <c r="A1593" s="17">
        <v>1583</v>
      </c>
      <c r="B1593" s="17" t="s">
        <v>3579</v>
      </c>
      <c r="C1593" s="17" t="s">
        <v>1856</v>
      </c>
      <c r="D1593" s="18">
        <v>10</v>
      </c>
      <c r="E1593" s="18">
        <v>0.54</v>
      </c>
      <c r="F1593" s="18">
        <v>0.65</v>
      </c>
      <c r="G1593" s="20" t="s">
        <v>1857</v>
      </c>
      <c r="H1593" s="19" t="str">
        <f>HYPERLINK("https://elefant.by/catalogue/582249988","Посмотреть на сайте ...")</f>
        <v>Посмотреть на сайте ...</v>
      </c>
    </row>
    <row r="1594" spans="1:8" s="16" customFormat="1" x14ac:dyDescent="0.25">
      <c r="A1594" s="17">
        <v>1584</v>
      </c>
      <c r="B1594" s="17" t="s">
        <v>3579</v>
      </c>
      <c r="C1594" s="17" t="s">
        <v>3592</v>
      </c>
      <c r="D1594" s="18">
        <v>1</v>
      </c>
      <c r="E1594" s="18">
        <v>0.54</v>
      </c>
      <c r="F1594" s="18">
        <v>0.65</v>
      </c>
      <c r="G1594" s="20" t="s">
        <v>1857</v>
      </c>
      <c r="H1594" s="19" t="str">
        <f>HYPERLINK("https://elefant.by/catalogue/689583054","Посмотреть на сайте ...")</f>
        <v>Посмотреть на сайте ...</v>
      </c>
    </row>
    <row r="1595" spans="1:8" s="16" customFormat="1" x14ac:dyDescent="0.25">
      <c r="A1595" s="17">
        <v>1585</v>
      </c>
      <c r="B1595" s="17" t="s">
        <v>3579</v>
      </c>
      <c r="C1595" s="17" t="s">
        <v>1858</v>
      </c>
      <c r="D1595" s="18">
        <v>10</v>
      </c>
      <c r="E1595" s="18">
        <v>0.52</v>
      </c>
      <c r="F1595" s="18">
        <v>0.62</v>
      </c>
      <c r="G1595" s="20" t="s">
        <v>1859</v>
      </c>
      <c r="H1595" s="19" t="str">
        <f>HYPERLINK("https://elefant.by/catalogue/582249987","Посмотреть на сайте ...")</f>
        <v>Посмотреть на сайте ...</v>
      </c>
    </row>
    <row r="1596" spans="1:8" s="16" customFormat="1" x14ac:dyDescent="0.25">
      <c r="A1596" s="17">
        <v>1586</v>
      </c>
      <c r="B1596" s="17" t="s">
        <v>3579</v>
      </c>
      <c r="C1596" s="17" t="s">
        <v>1860</v>
      </c>
      <c r="D1596" s="18">
        <v>10</v>
      </c>
      <c r="E1596" s="18">
        <v>0.54</v>
      </c>
      <c r="F1596" s="18">
        <v>0.65</v>
      </c>
      <c r="G1596" s="20" t="s">
        <v>1861</v>
      </c>
      <c r="H1596" s="19" t="str">
        <f>HYPERLINK("https://elefant.by/catalogue/173040307","Посмотреть на сайте ...")</f>
        <v>Посмотреть на сайте ...</v>
      </c>
    </row>
    <row r="1597" spans="1:8" s="16" customFormat="1" x14ac:dyDescent="0.25">
      <c r="A1597" s="17">
        <v>1587</v>
      </c>
      <c r="B1597" s="17" t="s">
        <v>3579</v>
      </c>
      <c r="C1597" s="17" t="s">
        <v>1862</v>
      </c>
      <c r="D1597" s="18">
        <v>5</v>
      </c>
      <c r="E1597" s="18">
        <v>0.32</v>
      </c>
      <c r="F1597" s="18">
        <v>0.38</v>
      </c>
      <c r="G1597" s="20" t="s">
        <v>1863</v>
      </c>
      <c r="H1597" s="19" t="str">
        <f>HYPERLINK("https://elefant.by/catalogue/489597660","Посмотреть на сайте ...")</f>
        <v>Посмотреть на сайте ...</v>
      </c>
    </row>
    <row r="1598" spans="1:8" s="16" customFormat="1" x14ac:dyDescent="0.25">
      <c r="A1598" s="17">
        <v>1588</v>
      </c>
      <c r="B1598" s="17" t="s">
        <v>3579</v>
      </c>
      <c r="C1598" s="17" t="s">
        <v>1864</v>
      </c>
      <c r="D1598" s="18">
        <v>6</v>
      </c>
      <c r="E1598" s="18">
        <v>0.72</v>
      </c>
      <c r="F1598" s="18">
        <v>0.86</v>
      </c>
      <c r="G1598" s="20" t="s">
        <v>1865</v>
      </c>
      <c r="H1598" s="19" t="str">
        <f>HYPERLINK("https://elefant.by/catalogue/441266017","Посмотреть на сайте ...")</f>
        <v>Посмотреть на сайте ...</v>
      </c>
    </row>
    <row r="1599" spans="1:8" s="16" customFormat="1" x14ac:dyDescent="0.25">
      <c r="A1599" s="17">
        <v>1589</v>
      </c>
      <c r="B1599" s="17" t="s">
        <v>3579</v>
      </c>
      <c r="C1599" s="17" t="s">
        <v>1866</v>
      </c>
      <c r="D1599" s="18">
        <v>5</v>
      </c>
      <c r="E1599" s="18">
        <v>0.26</v>
      </c>
      <c r="F1599" s="18">
        <v>0.31</v>
      </c>
      <c r="G1599" s="20" t="s">
        <v>1867</v>
      </c>
      <c r="H1599" s="19" t="str">
        <f>HYPERLINK("https://elefant.by/catalogue/402093695","Посмотреть на сайте ...")</f>
        <v>Посмотреть на сайте ...</v>
      </c>
    </row>
    <row r="1600" spans="1:8" s="16" customFormat="1" x14ac:dyDescent="0.25">
      <c r="A1600" s="17">
        <v>1590</v>
      </c>
      <c r="B1600" s="17" t="s">
        <v>3579</v>
      </c>
      <c r="C1600" s="17" t="s">
        <v>3593</v>
      </c>
      <c r="D1600" s="18">
        <v>10</v>
      </c>
      <c r="E1600" s="18">
        <v>0.38</v>
      </c>
      <c r="F1600" s="18">
        <v>0.46</v>
      </c>
      <c r="G1600" s="20" t="s">
        <v>1868</v>
      </c>
      <c r="H1600" s="19" t="str">
        <f>HYPERLINK("https://elefant.by/catalogue/356052176","Посмотреть на сайте ...")</f>
        <v>Посмотреть на сайте ...</v>
      </c>
    </row>
    <row r="1601" spans="1:8" s="16" customFormat="1" x14ac:dyDescent="0.25">
      <c r="A1601" s="17">
        <v>1591</v>
      </c>
      <c r="B1601" s="17" t="s">
        <v>3579</v>
      </c>
      <c r="C1601" s="17" t="s">
        <v>1869</v>
      </c>
      <c r="D1601" s="18">
        <v>10</v>
      </c>
      <c r="E1601" s="18">
        <v>0.7</v>
      </c>
      <c r="F1601" s="18">
        <v>0.84</v>
      </c>
      <c r="G1601" s="20" t="s">
        <v>1870</v>
      </c>
      <c r="H1601" s="19" t="str">
        <f>HYPERLINK("https://elefant.by/catalogue/614380918","Посмотреть на сайте ...")</f>
        <v>Посмотреть на сайте ...</v>
      </c>
    </row>
    <row r="1602" spans="1:8" s="16" customFormat="1" x14ac:dyDescent="0.25">
      <c r="A1602" s="17">
        <v>1592</v>
      </c>
      <c r="B1602" s="17" t="s">
        <v>3579</v>
      </c>
      <c r="C1602" s="17" t="s">
        <v>3594</v>
      </c>
      <c r="D1602" s="18">
        <v>10</v>
      </c>
      <c r="E1602" s="18">
        <v>0.49</v>
      </c>
      <c r="F1602" s="18">
        <v>0.59</v>
      </c>
      <c r="G1602" s="20" t="s">
        <v>4694</v>
      </c>
      <c r="H1602" s="19" t="str">
        <f>HYPERLINK("https://elefant.by/catalogue/642030827","Посмотреть на сайте ...")</f>
        <v>Посмотреть на сайте ...</v>
      </c>
    </row>
    <row r="1603" spans="1:8" s="16" customFormat="1" x14ac:dyDescent="0.25">
      <c r="A1603" s="17">
        <v>1593</v>
      </c>
      <c r="B1603" s="17" t="s">
        <v>3579</v>
      </c>
      <c r="C1603" s="17" t="s">
        <v>1871</v>
      </c>
      <c r="D1603" s="18">
        <v>50</v>
      </c>
      <c r="E1603" s="18">
        <v>0.25</v>
      </c>
      <c r="F1603" s="18">
        <v>0.3</v>
      </c>
      <c r="G1603" s="20" t="s">
        <v>1872</v>
      </c>
      <c r="H1603" s="19" t="str">
        <f>HYPERLINK("https://elefant.by/catalogue/583663595","Посмотреть на сайте ...")</f>
        <v>Посмотреть на сайте ...</v>
      </c>
    </row>
    <row r="1604" spans="1:8" s="16" customFormat="1" x14ac:dyDescent="0.25">
      <c r="A1604" s="17">
        <v>1594</v>
      </c>
      <c r="B1604" s="17" t="s">
        <v>3579</v>
      </c>
      <c r="C1604" s="17" t="s">
        <v>3595</v>
      </c>
      <c r="D1604" s="18">
        <v>10</v>
      </c>
      <c r="E1604" s="18">
        <v>0.54</v>
      </c>
      <c r="F1604" s="18">
        <v>0.65</v>
      </c>
      <c r="G1604" s="20" t="s">
        <v>1873</v>
      </c>
      <c r="H1604" s="19" t="str">
        <f>HYPERLINK("https://elefant.by/catalogue/400784419","Посмотреть на сайте ...")</f>
        <v>Посмотреть на сайте ...</v>
      </c>
    </row>
    <row r="1605" spans="1:8" s="16" customFormat="1" x14ac:dyDescent="0.25">
      <c r="A1605" s="17">
        <v>1595</v>
      </c>
      <c r="B1605" s="17" t="s">
        <v>3579</v>
      </c>
      <c r="C1605" s="17" t="s">
        <v>1874</v>
      </c>
      <c r="D1605" s="18">
        <v>10</v>
      </c>
      <c r="E1605" s="18">
        <v>0.62</v>
      </c>
      <c r="F1605" s="18">
        <v>0.74</v>
      </c>
      <c r="G1605" s="20" t="s">
        <v>1875</v>
      </c>
      <c r="H1605" s="19" t="str">
        <f>HYPERLINK("https://elefant.by/catalogue/441266015","Посмотреть на сайте ...")</f>
        <v>Посмотреть на сайте ...</v>
      </c>
    </row>
    <row r="1606" spans="1:8" s="16" customFormat="1" x14ac:dyDescent="0.25">
      <c r="A1606" s="17">
        <v>1596</v>
      </c>
      <c r="B1606" s="17" t="s">
        <v>3579</v>
      </c>
      <c r="C1606" s="17" t="s">
        <v>1876</v>
      </c>
      <c r="D1606" s="18">
        <v>10</v>
      </c>
      <c r="E1606" s="18">
        <v>0.52</v>
      </c>
      <c r="F1606" s="18">
        <v>0.62</v>
      </c>
      <c r="G1606" s="20" t="s">
        <v>1877</v>
      </c>
      <c r="H1606" s="19" t="str">
        <f>HYPERLINK("https://elefant.by/catalogue/173040306","Посмотреть на сайте ...")</f>
        <v>Посмотреть на сайте ...</v>
      </c>
    </row>
    <row r="1607" spans="1:8" s="16" customFormat="1" x14ac:dyDescent="0.25">
      <c r="A1607" s="17">
        <v>1597</v>
      </c>
      <c r="B1607" s="17" t="s">
        <v>3579</v>
      </c>
      <c r="C1607" s="17" t="s">
        <v>1878</v>
      </c>
      <c r="D1607" s="18">
        <v>10</v>
      </c>
      <c r="E1607" s="18">
        <v>0.56999999999999995</v>
      </c>
      <c r="F1607" s="18">
        <v>0.68</v>
      </c>
      <c r="G1607" s="20" t="s">
        <v>1879</v>
      </c>
      <c r="H1607" s="19" t="str">
        <f>HYPERLINK("https://elefant.by/catalogue/197881446","Посмотреть на сайте ...")</f>
        <v>Посмотреть на сайте ...</v>
      </c>
    </row>
    <row r="1608" spans="1:8" s="16" customFormat="1" x14ac:dyDescent="0.25">
      <c r="A1608" s="17">
        <v>1598</v>
      </c>
      <c r="B1608" s="17" t="s">
        <v>3579</v>
      </c>
      <c r="C1608" s="17" t="s">
        <v>1880</v>
      </c>
      <c r="D1608" s="18">
        <v>10</v>
      </c>
      <c r="E1608" s="18">
        <v>0.63</v>
      </c>
      <c r="F1608" s="18">
        <v>0.76</v>
      </c>
      <c r="G1608" s="20" t="s">
        <v>1870</v>
      </c>
      <c r="H1608" s="19" t="str">
        <f>HYPERLINK("https://elefant.by/catalogue/565281853","Посмотреть на сайте ...")</f>
        <v>Посмотреть на сайте ...</v>
      </c>
    </row>
    <row r="1609" spans="1:8" s="16" customFormat="1" x14ac:dyDescent="0.25">
      <c r="A1609" s="17">
        <v>1599</v>
      </c>
      <c r="B1609" s="17" t="s">
        <v>3579</v>
      </c>
      <c r="C1609" s="17" t="s">
        <v>1881</v>
      </c>
      <c r="D1609" s="18">
        <v>5</v>
      </c>
      <c r="E1609" s="18">
        <v>0.3</v>
      </c>
      <c r="F1609" s="18">
        <v>0.36</v>
      </c>
      <c r="G1609" s="20" t="s">
        <v>1836</v>
      </c>
      <c r="H1609" s="19" t="str">
        <f>HYPERLINK("https://elefant.by/catalogue/176483527","Посмотреть на сайте ...")</f>
        <v>Посмотреть на сайте ...</v>
      </c>
    </row>
    <row r="1610" spans="1:8" s="16" customFormat="1" x14ac:dyDescent="0.25">
      <c r="A1610" s="17">
        <v>1600</v>
      </c>
      <c r="B1610" s="17" t="s">
        <v>3579</v>
      </c>
      <c r="C1610" s="17" t="s">
        <v>1883</v>
      </c>
      <c r="D1610" s="18">
        <v>10</v>
      </c>
      <c r="E1610" s="18">
        <v>0.52</v>
      </c>
      <c r="F1610" s="18">
        <v>0.62</v>
      </c>
      <c r="G1610" s="20" t="s">
        <v>1884</v>
      </c>
      <c r="H1610" s="19" t="str">
        <f>HYPERLINK("https://elefant.by/catalogue/400784417","Посмотреть на сайте ...")</f>
        <v>Посмотреть на сайте ...</v>
      </c>
    </row>
    <row r="1611" spans="1:8" s="16" customFormat="1" x14ac:dyDescent="0.25">
      <c r="A1611" s="17">
        <v>1601</v>
      </c>
      <c r="B1611" s="17" t="s">
        <v>3579</v>
      </c>
      <c r="C1611" s="17" t="s">
        <v>3596</v>
      </c>
      <c r="D1611" s="18">
        <v>10</v>
      </c>
      <c r="E1611" s="18">
        <v>0.54</v>
      </c>
      <c r="F1611" s="18">
        <v>0.65</v>
      </c>
      <c r="G1611" s="20" t="s">
        <v>1882</v>
      </c>
      <c r="H1611" s="19" t="str">
        <f>HYPERLINK("https://elefant.by/catalogue/400784418","Посмотреть на сайте ...")</f>
        <v>Посмотреть на сайте ...</v>
      </c>
    </row>
    <row r="1612" spans="1:8" s="16" customFormat="1" x14ac:dyDescent="0.25">
      <c r="A1612" s="17">
        <v>1602</v>
      </c>
      <c r="B1612" s="17" t="s">
        <v>3579</v>
      </c>
      <c r="C1612" s="17" t="s">
        <v>3597</v>
      </c>
      <c r="D1612" s="18">
        <v>1</v>
      </c>
      <c r="E1612" s="18">
        <v>0.54</v>
      </c>
      <c r="F1612" s="18">
        <v>0.65</v>
      </c>
      <c r="G1612" s="20" t="s">
        <v>1882</v>
      </c>
      <c r="H1612" s="19" t="str">
        <f>HYPERLINK("https://elefant.by/catalogue/689583052","Посмотреть на сайте ...")</f>
        <v>Посмотреть на сайте ...</v>
      </c>
    </row>
    <row r="1613" spans="1:8" s="16" customFormat="1" x14ac:dyDescent="0.25">
      <c r="A1613" s="17">
        <v>1603</v>
      </c>
      <c r="B1613" s="17" t="s">
        <v>3579</v>
      </c>
      <c r="C1613" s="17" t="s">
        <v>1885</v>
      </c>
      <c r="D1613" s="18">
        <v>50</v>
      </c>
      <c r="E1613" s="18">
        <v>0.24</v>
      </c>
      <c r="F1613" s="18">
        <v>0.28999999999999998</v>
      </c>
      <c r="G1613" s="20" t="s">
        <v>1886</v>
      </c>
      <c r="H1613" s="19" t="str">
        <f>HYPERLINK("https://elefant.by/catalogue/400784420","Посмотреть на сайте ...")</f>
        <v>Посмотреть на сайте ...</v>
      </c>
    </row>
    <row r="1614" spans="1:8" s="16" customFormat="1" x14ac:dyDescent="0.25">
      <c r="A1614" s="17">
        <v>1604</v>
      </c>
      <c r="B1614" s="17" t="s">
        <v>3579</v>
      </c>
      <c r="C1614" s="17" t="s">
        <v>3598</v>
      </c>
      <c r="D1614" s="18">
        <v>10</v>
      </c>
      <c r="E1614" s="18">
        <v>0.54</v>
      </c>
      <c r="F1614" s="18">
        <v>0.65</v>
      </c>
      <c r="G1614" s="20" t="s">
        <v>4695</v>
      </c>
      <c r="H1614" s="19" t="str">
        <f>HYPERLINK("https://elefant.by/catalogue/642030826","Посмотреть на сайте ...")</f>
        <v>Посмотреть на сайте ...</v>
      </c>
    </row>
    <row r="1615" spans="1:8" s="16" customFormat="1" x14ac:dyDescent="0.25">
      <c r="A1615" s="17">
        <v>1605</v>
      </c>
      <c r="B1615" s="17" t="s">
        <v>3579</v>
      </c>
      <c r="C1615" s="17" t="s">
        <v>1887</v>
      </c>
      <c r="D1615" s="18">
        <v>10</v>
      </c>
      <c r="E1615" s="18">
        <v>0.3</v>
      </c>
      <c r="F1615" s="18">
        <v>0.36</v>
      </c>
      <c r="G1615" s="20" t="s">
        <v>1888</v>
      </c>
      <c r="H1615" s="19" t="str">
        <f>HYPERLINK("https://elefant.by/catalogue/537158354","Посмотреть на сайте ...")</f>
        <v>Посмотреть на сайте ...</v>
      </c>
    </row>
    <row r="1616" spans="1:8" s="16" customFormat="1" x14ac:dyDescent="0.25">
      <c r="A1616" s="17">
        <v>1606</v>
      </c>
      <c r="B1616" s="17" t="s">
        <v>3579</v>
      </c>
      <c r="C1616" s="17" t="s">
        <v>1889</v>
      </c>
      <c r="D1616" s="18">
        <v>10</v>
      </c>
      <c r="E1616" s="18">
        <v>0.41</v>
      </c>
      <c r="F1616" s="18">
        <v>0.49</v>
      </c>
      <c r="G1616" s="20" t="s">
        <v>1890</v>
      </c>
      <c r="H1616" s="19" t="str">
        <f>HYPERLINK("https://elefant.by/catalogue/582249989","Посмотреть на сайте ...")</f>
        <v>Посмотреть на сайте ...</v>
      </c>
    </row>
    <row r="1617" spans="1:8" s="16" customFormat="1" x14ac:dyDescent="0.25">
      <c r="A1617" s="17">
        <v>1607</v>
      </c>
      <c r="B1617" s="17" t="s">
        <v>3579</v>
      </c>
      <c r="C1617" s="17" t="s">
        <v>1891</v>
      </c>
      <c r="D1617" s="18">
        <v>10</v>
      </c>
      <c r="E1617" s="18">
        <v>0.53</v>
      </c>
      <c r="F1617" s="18">
        <v>0.64</v>
      </c>
      <c r="G1617" s="20" t="s">
        <v>1892</v>
      </c>
      <c r="H1617" s="19" t="str">
        <f>HYPERLINK("https://elefant.by/catalogue/441266018","Посмотреть на сайте ...")</f>
        <v>Посмотреть на сайте ...</v>
      </c>
    </row>
    <row r="1618" spans="1:8" s="16" customFormat="1" x14ac:dyDescent="0.25">
      <c r="A1618" s="17">
        <v>1608</v>
      </c>
      <c r="B1618" s="17" t="s">
        <v>15</v>
      </c>
      <c r="C1618" s="17" t="s">
        <v>1893</v>
      </c>
      <c r="D1618" s="18">
        <v>6</v>
      </c>
      <c r="E1618" s="18">
        <v>3.43</v>
      </c>
      <c r="F1618" s="18">
        <v>4.12</v>
      </c>
      <c r="G1618" s="20" t="s">
        <v>1894</v>
      </c>
      <c r="H1618" s="19" t="str">
        <f>HYPERLINK("https://elefant.by/catalogue/631414278","Посмотреть на сайте ...")</f>
        <v>Посмотреть на сайте ...</v>
      </c>
    </row>
    <row r="1619" spans="1:8" s="16" customFormat="1" x14ac:dyDescent="0.25">
      <c r="A1619" s="17">
        <v>1609</v>
      </c>
      <c r="B1619" s="17" t="s">
        <v>15</v>
      </c>
      <c r="C1619" s="17" t="s">
        <v>1895</v>
      </c>
      <c r="D1619" s="18">
        <v>6</v>
      </c>
      <c r="E1619" s="18">
        <v>3.43</v>
      </c>
      <c r="F1619" s="18">
        <v>4.12</v>
      </c>
      <c r="G1619" s="20" t="s">
        <v>1896</v>
      </c>
      <c r="H1619" s="19" t="str">
        <f>HYPERLINK("https://elefant.by/catalogue/639415357","Посмотреть на сайте ...")</f>
        <v>Посмотреть на сайте ...</v>
      </c>
    </row>
    <row r="1620" spans="1:8" s="16" customFormat="1" x14ac:dyDescent="0.25">
      <c r="A1620" s="17">
        <v>1610</v>
      </c>
      <c r="B1620" s="17" t="s">
        <v>63</v>
      </c>
      <c r="C1620" s="17" t="s">
        <v>3599</v>
      </c>
      <c r="D1620" s="18">
        <v>12</v>
      </c>
      <c r="E1620" s="18">
        <v>0.47</v>
      </c>
      <c r="F1620" s="18">
        <v>0.56000000000000005</v>
      </c>
      <c r="G1620" s="20" t="s">
        <v>4696</v>
      </c>
      <c r="H1620" s="19" t="str">
        <f>HYPERLINK("https://elefant.by/catalogue/685445004","Посмотреть на сайте ...")</f>
        <v>Посмотреть на сайте ...</v>
      </c>
    </row>
    <row r="1621" spans="1:8" s="16" customFormat="1" x14ac:dyDescent="0.25">
      <c r="A1621" s="17">
        <v>1611</v>
      </c>
      <c r="B1621" s="17" t="s">
        <v>12</v>
      </c>
      <c r="C1621" s="17" t="s">
        <v>1897</v>
      </c>
      <c r="D1621" s="18">
        <v>36</v>
      </c>
      <c r="E1621" s="18">
        <v>0.49</v>
      </c>
      <c r="F1621" s="18">
        <v>0.59</v>
      </c>
      <c r="G1621" s="20" t="s">
        <v>1898</v>
      </c>
      <c r="H1621" s="19" t="str">
        <f>HYPERLINK("https://elefant.by/catalogue/628886542","Посмотреть на сайте ...")</f>
        <v>Посмотреть на сайте ...</v>
      </c>
    </row>
    <row r="1622" spans="1:8" s="16" customFormat="1" x14ac:dyDescent="0.25">
      <c r="A1622" s="17">
        <v>1612</v>
      </c>
      <c r="B1622" s="17" t="s">
        <v>12</v>
      </c>
      <c r="C1622" s="17" t="s">
        <v>1899</v>
      </c>
      <c r="D1622" s="18">
        <v>36</v>
      </c>
      <c r="E1622" s="18">
        <v>0.31</v>
      </c>
      <c r="F1622" s="18">
        <v>0.37</v>
      </c>
      <c r="G1622" s="20" t="s">
        <v>1900</v>
      </c>
      <c r="H1622" s="19" t="str">
        <f>HYPERLINK("https://elefant.by/catalogue/586361850","Посмотреть на сайте ...")</f>
        <v>Посмотреть на сайте ...</v>
      </c>
    </row>
    <row r="1623" spans="1:8" s="16" customFormat="1" x14ac:dyDescent="0.25">
      <c r="A1623" s="17">
        <v>1613</v>
      </c>
      <c r="B1623" s="17" t="s">
        <v>12</v>
      </c>
      <c r="C1623" s="17" t="s">
        <v>3600</v>
      </c>
      <c r="D1623" s="18">
        <v>24</v>
      </c>
      <c r="E1623" s="18">
        <v>4.09</v>
      </c>
      <c r="F1623" s="18">
        <v>4.91</v>
      </c>
      <c r="G1623" s="20" t="s">
        <v>4697</v>
      </c>
      <c r="H1623" s="19" t="str">
        <f>HYPERLINK("https://elefant.by/catalogue/688633841","Посмотреть на сайте ...")</f>
        <v>Посмотреть на сайте ...</v>
      </c>
    </row>
    <row r="1624" spans="1:8" s="16" customFormat="1" x14ac:dyDescent="0.25">
      <c r="A1624" s="17">
        <v>1614</v>
      </c>
      <c r="B1624" s="17" t="s">
        <v>12</v>
      </c>
      <c r="C1624" s="17" t="s">
        <v>1903</v>
      </c>
      <c r="D1624" s="18">
        <v>50</v>
      </c>
      <c r="E1624" s="18">
        <v>2.39</v>
      </c>
      <c r="F1624" s="18">
        <v>2.87</v>
      </c>
      <c r="G1624" s="20" t="s">
        <v>1904</v>
      </c>
      <c r="H1624" s="19" t="str">
        <f>HYPERLINK("https://elefant.by/catalogue/508062659","Посмотреть на сайте ...")</f>
        <v>Посмотреть на сайте ...</v>
      </c>
    </row>
    <row r="1625" spans="1:8" s="16" customFormat="1" x14ac:dyDescent="0.25">
      <c r="A1625" s="17">
        <v>1615</v>
      </c>
      <c r="B1625" s="17" t="s">
        <v>12</v>
      </c>
      <c r="C1625" s="17" t="s">
        <v>3601</v>
      </c>
      <c r="D1625" s="18">
        <v>12</v>
      </c>
      <c r="E1625" s="18">
        <v>3.49</v>
      </c>
      <c r="F1625" s="18">
        <v>4.1900000000000004</v>
      </c>
      <c r="G1625" s="20" t="s">
        <v>4698</v>
      </c>
      <c r="H1625" s="19" t="str">
        <f>HYPERLINK("https://elefant.by/catalogue/698797797","Посмотреть на сайте ...")</f>
        <v>Посмотреть на сайте ...</v>
      </c>
    </row>
    <row r="1626" spans="1:8" s="16" customFormat="1" x14ac:dyDescent="0.25">
      <c r="A1626" s="17">
        <v>1616</v>
      </c>
      <c r="B1626" s="17" t="s">
        <v>12</v>
      </c>
      <c r="C1626" s="17" t="s">
        <v>3602</v>
      </c>
      <c r="D1626" s="18">
        <v>12</v>
      </c>
      <c r="E1626" s="18">
        <v>3.49</v>
      </c>
      <c r="F1626" s="18">
        <v>4.1900000000000004</v>
      </c>
      <c r="G1626" s="20" t="s">
        <v>4699</v>
      </c>
      <c r="H1626" s="19" t="str">
        <f>HYPERLINK("https://elefant.by/catalogue/698797796","Посмотреть на сайте ...")</f>
        <v>Посмотреть на сайте ...</v>
      </c>
    </row>
    <row r="1627" spans="1:8" s="16" customFormat="1" x14ac:dyDescent="0.25">
      <c r="A1627" s="17">
        <v>1617</v>
      </c>
      <c r="B1627" s="17" t="s">
        <v>12</v>
      </c>
      <c r="C1627" s="17" t="s">
        <v>1901</v>
      </c>
      <c r="D1627" s="18">
        <v>36</v>
      </c>
      <c r="E1627" s="18">
        <v>0.72</v>
      </c>
      <c r="F1627" s="18">
        <v>0.86</v>
      </c>
      <c r="G1627" s="20" t="s">
        <v>1902</v>
      </c>
      <c r="H1627" s="19" t="str">
        <f>HYPERLINK("https://elefant.by/catalogue/620246252","Посмотреть на сайте ...")</f>
        <v>Посмотреть на сайте ...</v>
      </c>
    </row>
    <row r="1628" spans="1:8" s="16" customFormat="1" x14ac:dyDescent="0.25">
      <c r="A1628" s="17">
        <v>1618</v>
      </c>
      <c r="B1628" s="17" t="s">
        <v>12</v>
      </c>
      <c r="C1628" s="17" t="s">
        <v>1905</v>
      </c>
      <c r="D1628" s="18">
        <v>50</v>
      </c>
      <c r="E1628" s="18">
        <v>3.45</v>
      </c>
      <c r="F1628" s="18">
        <v>4.1399999999999997</v>
      </c>
      <c r="G1628" s="20" t="s">
        <v>1906</v>
      </c>
      <c r="H1628" s="19" t="str">
        <f>HYPERLINK("https://elefant.by/catalogue/622414897","Посмотреть на сайте ...")</f>
        <v>Посмотреть на сайте ...</v>
      </c>
    </row>
    <row r="1629" spans="1:8" s="16" customFormat="1" x14ac:dyDescent="0.25">
      <c r="A1629" s="17">
        <v>1619</v>
      </c>
      <c r="B1629" s="17" t="s">
        <v>12</v>
      </c>
      <c r="C1629" s="17" t="s">
        <v>1907</v>
      </c>
      <c r="D1629" s="18">
        <v>50</v>
      </c>
      <c r="E1629" s="18">
        <v>5.63</v>
      </c>
      <c r="F1629" s="18">
        <v>6.76</v>
      </c>
      <c r="G1629" s="20" t="s">
        <v>1908</v>
      </c>
      <c r="H1629" s="19" t="str">
        <f>HYPERLINK("https://elefant.by/catalogue/622414898","Посмотреть на сайте ...")</f>
        <v>Посмотреть на сайте ...</v>
      </c>
    </row>
    <row r="1630" spans="1:8" s="16" customFormat="1" x14ac:dyDescent="0.25">
      <c r="A1630" s="17">
        <v>1620</v>
      </c>
      <c r="B1630" s="17" t="s">
        <v>12</v>
      </c>
      <c r="C1630" s="17" t="s">
        <v>1909</v>
      </c>
      <c r="D1630" s="18">
        <v>50</v>
      </c>
      <c r="E1630" s="18">
        <v>2.2400000000000002</v>
      </c>
      <c r="F1630" s="18">
        <v>2.69</v>
      </c>
      <c r="G1630" s="20" t="s">
        <v>1910</v>
      </c>
      <c r="H1630" s="19" t="str">
        <f>HYPERLINK("https://elefant.by/catalogue/603730935","Посмотреть на сайте ...")</f>
        <v>Посмотреть на сайте ...</v>
      </c>
    </row>
    <row r="1631" spans="1:8" s="16" customFormat="1" x14ac:dyDescent="0.25">
      <c r="A1631" s="17">
        <v>1621</v>
      </c>
      <c r="B1631" s="17" t="s">
        <v>12</v>
      </c>
      <c r="C1631" s="17" t="s">
        <v>1911</v>
      </c>
      <c r="D1631" s="18">
        <v>50</v>
      </c>
      <c r="E1631" s="18">
        <v>1.47</v>
      </c>
      <c r="F1631" s="18">
        <v>1.76</v>
      </c>
      <c r="G1631" s="20" t="s">
        <v>1912</v>
      </c>
      <c r="H1631" s="19" t="str">
        <f>HYPERLINK("https://elefant.by/catalogue/567232158","Посмотреть на сайте ...")</f>
        <v>Посмотреть на сайте ...</v>
      </c>
    </row>
    <row r="1632" spans="1:8" s="16" customFormat="1" x14ac:dyDescent="0.25">
      <c r="A1632" s="17">
        <v>1622</v>
      </c>
      <c r="B1632" s="17" t="s">
        <v>63</v>
      </c>
      <c r="C1632" s="17" t="s">
        <v>1913</v>
      </c>
      <c r="D1632" s="18">
        <v>36</v>
      </c>
      <c r="E1632" s="18">
        <v>0.28000000000000003</v>
      </c>
      <c r="F1632" s="18">
        <v>0.34</v>
      </c>
      <c r="G1632" s="20" t="s">
        <v>1914</v>
      </c>
      <c r="H1632" s="19" t="str">
        <f>HYPERLINK("https://elefant.by/catalogue/451126169","Посмотреть на сайте ...")</f>
        <v>Посмотреть на сайте ...</v>
      </c>
    </row>
    <row r="1633" spans="1:8" s="16" customFormat="1" x14ac:dyDescent="0.25">
      <c r="A1633" s="17">
        <v>1623</v>
      </c>
      <c r="B1633" s="17" t="s">
        <v>63</v>
      </c>
      <c r="C1633" s="17" t="s">
        <v>1915</v>
      </c>
      <c r="D1633" s="18">
        <v>36</v>
      </c>
      <c r="E1633" s="18">
        <v>0.28000000000000003</v>
      </c>
      <c r="F1633" s="18">
        <v>0.34</v>
      </c>
      <c r="G1633" s="20" t="s">
        <v>1916</v>
      </c>
      <c r="H1633" s="19" t="str">
        <f>HYPERLINK("https://elefant.by/catalogue/451126168","Посмотреть на сайте ...")</f>
        <v>Посмотреть на сайте ...</v>
      </c>
    </row>
    <row r="1634" spans="1:8" s="16" customFormat="1" x14ac:dyDescent="0.25">
      <c r="A1634" s="17">
        <v>1624</v>
      </c>
      <c r="B1634" s="17" t="s">
        <v>63</v>
      </c>
      <c r="C1634" s="17" t="s">
        <v>1917</v>
      </c>
      <c r="D1634" s="18">
        <v>36</v>
      </c>
      <c r="E1634" s="18">
        <v>0.28000000000000003</v>
      </c>
      <c r="F1634" s="18">
        <v>0.34</v>
      </c>
      <c r="G1634" s="20" t="s">
        <v>1918</v>
      </c>
      <c r="H1634" s="19" t="str">
        <f>HYPERLINK("https://elefant.by/catalogue/451126166","Посмотреть на сайте ...")</f>
        <v>Посмотреть на сайте ...</v>
      </c>
    </row>
    <row r="1635" spans="1:8" s="16" customFormat="1" x14ac:dyDescent="0.25">
      <c r="A1635" s="17">
        <v>1625</v>
      </c>
      <c r="B1635" s="17" t="s">
        <v>63</v>
      </c>
      <c r="C1635" s="17" t="s">
        <v>1919</v>
      </c>
      <c r="D1635" s="18">
        <v>36</v>
      </c>
      <c r="E1635" s="18">
        <v>0.28000000000000003</v>
      </c>
      <c r="F1635" s="18">
        <v>0.34</v>
      </c>
      <c r="G1635" s="20" t="s">
        <v>1920</v>
      </c>
      <c r="H1635" s="19" t="str">
        <f>HYPERLINK("https://elefant.by/catalogue/451126167","Посмотреть на сайте ...")</f>
        <v>Посмотреть на сайте ...</v>
      </c>
    </row>
    <row r="1636" spans="1:8" s="16" customFormat="1" x14ac:dyDescent="0.25">
      <c r="A1636" s="17">
        <v>1626</v>
      </c>
      <c r="B1636" s="17" t="s">
        <v>1921</v>
      </c>
      <c r="C1636" s="17" t="s">
        <v>1922</v>
      </c>
      <c r="D1636" s="18">
        <v>12</v>
      </c>
      <c r="E1636" s="18">
        <v>1.1100000000000001</v>
      </c>
      <c r="F1636" s="18">
        <v>1.33</v>
      </c>
      <c r="G1636" s="20" t="s">
        <v>1923</v>
      </c>
      <c r="H1636" s="19" t="str">
        <f>HYPERLINK("https://elefant.by/catalogue/513782445","Посмотреть на сайте ...")</f>
        <v>Посмотреть на сайте ...</v>
      </c>
    </row>
    <row r="1637" spans="1:8" s="16" customFormat="1" x14ac:dyDescent="0.25">
      <c r="A1637" s="17">
        <v>1627</v>
      </c>
      <c r="B1637" s="17" t="s">
        <v>1921</v>
      </c>
      <c r="C1637" s="17" t="s">
        <v>1924</v>
      </c>
      <c r="D1637" s="18">
        <v>12</v>
      </c>
      <c r="E1637" s="18">
        <v>1.1100000000000001</v>
      </c>
      <c r="F1637" s="18">
        <v>1.33</v>
      </c>
      <c r="G1637" s="20" t="s">
        <v>1925</v>
      </c>
      <c r="H1637" s="19" t="str">
        <f>HYPERLINK("https://elefant.by/catalogue/513782446","Посмотреть на сайте ...")</f>
        <v>Посмотреть на сайте ...</v>
      </c>
    </row>
    <row r="1638" spans="1:8" s="16" customFormat="1" x14ac:dyDescent="0.25">
      <c r="A1638" s="17">
        <v>1628</v>
      </c>
      <c r="B1638" s="17" t="s">
        <v>1921</v>
      </c>
      <c r="C1638" s="17" t="s">
        <v>1926</v>
      </c>
      <c r="D1638" s="18">
        <v>24</v>
      </c>
      <c r="E1638" s="18">
        <v>1.1299999999999999</v>
      </c>
      <c r="F1638" s="18">
        <v>1.36</v>
      </c>
      <c r="G1638" s="20" t="s">
        <v>1927</v>
      </c>
      <c r="H1638" s="19" t="str">
        <f>HYPERLINK("https://elefant.by/catalogue/404634134","Посмотреть на сайте ...")</f>
        <v>Посмотреть на сайте ...</v>
      </c>
    </row>
    <row r="1639" spans="1:8" s="16" customFormat="1" x14ac:dyDescent="0.25">
      <c r="A1639" s="17">
        <v>1629</v>
      </c>
      <c r="B1639" s="17" t="s">
        <v>1921</v>
      </c>
      <c r="C1639" s="17" t="s">
        <v>1928</v>
      </c>
      <c r="D1639" s="18">
        <v>12</v>
      </c>
      <c r="E1639" s="18">
        <v>0.96</v>
      </c>
      <c r="F1639" s="18">
        <v>1.1499999999999999</v>
      </c>
      <c r="G1639" s="20" t="s">
        <v>1929</v>
      </c>
      <c r="H1639" s="19" t="str">
        <f>HYPERLINK("https://elefant.by/catalogue/456425880","Посмотреть на сайте ...")</f>
        <v>Посмотреть на сайте ...</v>
      </c>
    </row>
    <row r="1640" spans="1:8" s="16" customFormat="1" x14ac:dyDescent="0.25">
      <c r="A1640" s="17">
        <v>1630</v>
      </c>
      <c r="B1640" s="17" t="s">
        <v>12</v>
      </c>
      <c r="C1640" s="17" t="s">
        <v>1956</v>
      </c>
      <c r="D1640" s="18">
        <v>12</v>
      </c>
      <c r="E1640" s="18">
        <v>0.91</v>
      </c>
      <c r="F1640" s="18">
        <v>1.0900000000000001</v>
      </c>
      <c r="G1640" s="20" t="s">
        <v>1957</v>
      </c>
      <c r="H1640" s="19" t="str">
        <f>HYPERLINK("https://elefant.by/catalogue/576479103","Посмотреть на сайте ...")</f>
        <v>Посмотреть на сайте ...</v>
      </c>
    </row>
    <row r="1641" spans="1:8" s="16" customFormat="1" x14ac:dyDescent="0.25">
      <c r="A1641" s="17">
        <v>1631</v>
      </c>
      <c r="B1641" s="17" t="s">
        <v>12</v>
      </c>
      <c r="C1641" s="17" t="s">
        <v>3607</v>
      </c>
      <c r="D1641" s="18">
        <v>36</v>
      </c>
      <c r="E1641" s="18">
        <v>1.1100000000000001</v>
      </c>
      <c r="F1641" s="18">
        <v>1.33</v>
      </c>
      <c r="G1641" s="20" t="s">
        <v>4704</v>
      </c>
      <c r="H1641" s="19" t="str">
        <f>HYPERLINK("https://elefant.by/catalogue/688626399","Посмотреть на сайте ...")</f>
        <v>Посмотреть на сайте ...</v>
      </c>
    </row>
    <row r="1642" spans="1:8" s="16" customFormat="1" x14ac:dyDescent="0.25">
      <c r="A1642" s="17">
        <v>1632</v>
      </c>
      <c r="B1642" s="17" t="s">
        <v>12</v>
      </c>
      <c r="C1642" s="17" t="s">
        <v>3608</v>
      </c>
      <c r="D1642" s="18">
        <v>36</v>
      </c>
      <c r="E1642" s="18">
        <v>1</v>
      </c>
      <c r="F1642" s="18">
        <v>1.2</v>
      </c>
      <c r="G1642" s="20" t="s">
        <v>4705</v>
      </c>
      <c r="H1642" s="19" t="str">
        <f>HYPERLINK("https://elefant.by/catalogue/647930399","Посмотреть на сайте ...")</f>
        <v>Посмотреть на сайте ...</v>
      </c>
    </row>
    <row r="1643" spans="1:8" s="16" customFormat="1" x14ac:dyDescent="0.25">
      <c r="A1643" s="17">
        <v>1633</v>
      </c>
      <c r="B1643" s="17" t="s">
        <v>12</v>
      </c>
      <c r="C1643" s="17" t="s">
        <v>1958</v>
      </c>
      <c r="D1643" s="18">
        <v>12</v>
      </c>
      <c r="E1643" s="18">
        <v>0.5</v>
      </c>
      <c r="F1643" s="18">
        <v>0.6</v>
      </c>
      <c r="G1643" s="20" t="s">
        <v>1959</v>
      </c>
      <c r="H1643" s="19" t="str">
        <f>HYPERLINK("https://elefant.by/catalogue/523367778","Посмотреть на сайте ...")</f>
        <v>Посмотреть на сайте ...</v>
      </c>
    </row>
    <row r="1644" spans="1:8" s="16" customFormat="1" x14ac:dyDescent="0.25">
      <c r="A1644" s="17">
        <v>1634</v>
      </c>
      <c r="B1644" s="17" t="s">
        <v>12</v>
      </c>
      <c r="C1644" s="17" t="s">
        <v>1960</v>
      </c>
      <c r="D1644" s="18">
        <v>12</v>
      </c>
      <c r="E1644" s="18">
        <v>0.5</v>
      </c>
      <c r="F1644" s="18">
        <v>0.6</v>
      </c>
      <c r="G1644" s="20" t="s">
        <v>1961</v>
      </c>
      <c r="H1644" s="19" t="str">
        <f>HYPERLINK("https://elefant.by/catalogue/523367779","Посмотреть на сайте ...")</f>
        <v>Посмотреть на сайте ...</v>
      </c>
    </row>
    <row r="1645" spans="1:8" s="16" customFormat="1" x14ac:dyDescent="0.25">
      <c r="A1645" s="17">
        <v>1635</v>
      </c>
      <c r="B1645" s="17" t="s">
        <v>9</v>
      </c>
      <c r="C1645" s="17" t="s">
        <v>1930</v>
      </c>
      <c r="D1645" s="18">
        <v>12</v>
      </c>
      <c r="E1645" s="18">
        <v>0.7</v>
      </c>
      <c r="F1645" s="18">
        <v>0.84</v>
      </c>
      <c r="G1645" s="20" t="s">
        <v>1931</v>
      </c>
      <c r="H1645" s="19" t="str">
        <f>HYPERLINK("https://elefant.by/catalogue/442697518","Посмотреть на сайте ...")</f>
        <v>Посмотреть на сайте ...</v>
      </c>
    </row>
    <row r="1646" spans="1:8" s="16" customFormat="1" x14ac:dyDescent="0.25">
      <c r="A1646" s="17">
        <v>1636</v>
      </c>
      <c r="B1646" s="17" t="s">
        <v>9</v>
      </c>
      <c r="C1646" s="17" t="s">
        <v>1932</v>
      </c>
      <c r="D1646" s="18">
        <v>12</v>
      </c>
      <c r="E1646" s="18">
        <v>0.7</v>
      </c>
      <c r="F1646" s="18">
        <v>0.84</v>
      </c>
      <c r="G1646" s="20" t="s">
        <v>1933</v>
      </c>
      <c r="H1646" s="19" t="str">
        <f>HYPERLINK("https://elefant.by/catalogue/442697519","Посмотреть на сайте ...")</f>
        <v>Посмотреть на сайте ...</v>
      </c>
    </row>
    <row r="1647" spans="1:8" s="16" customFormat="1" x14ac:dyDescent="0.25">
      <c r="A1647" s="17">
        <v>1637</v>
      </c>
      <c r="B1647" s="17" t="s">
        <v>9</v>
      </c>
      <c r="C1647" s="17" t="s">
        <v>1934</v>
      </c>
      <c r="D1647" s="18">
        <v>12</v>
      </c>
      <c r="E1647" s="18">
        <v>1.05</v>
      </c>
      <c r="F1647" s="18">
        <v>1.26</v>
      </c>
      <c r="G1647" s="20" t="s">
        <v>1935</v>
      </c>
      <c r="H1647" s="19" t="str">
        <f>HYPERLINK("https://elefant.by/catalogue/173531423","Посмотреть на сайте ...")</f>
        <v>Посмотреть на сайте ...</v>
      </c>
    </row>
    <row r="1648" spans="1:8" s="16" customFormat="1" x14ac:dyDescent="0.25">
      <c r="A1648" s="17">
        <v>1638</v>
      </c>
      <c r="B1648" s="17" t="s">
        <v>9</v>
      </c>
      <c r="C1648" s="17" t="s">
        <v>1936</v>
      </c>
      <c r="D1648" s="18">
        <v>12</v>
      </c>
      <c r="E1648" s="18">
        <v>1.05</v>
      </c>
      <c r="F1648" s="18">
        <v>1.26</v>
      </c>
      <c r="G1648" s="20" t="s">
        <v>1937</v>
      </c>
      <c r="H1648" s="19" t="str">
        <f>HYPERLINK("https://elefant.by/catalogue/173848403","Посмотреть на сайте ...")</f>
        <v>Посмотреть на сайте ...</v>
      </c>
    </row>
    <row r="1649" spans="1:8" s="16" customFormat="1" x14ac:dyDescent="0.25">
      <c r="A1649" s="17">
        <v>1639</v>
      </c>
      <c r="B1649" s="17" t="s">
        <v>9</v>
      </c>
      <c r="C1649" s="17" t="s">
        <v>1938</v>
      </c>
      <c r="D1649" s="18">
        <v>12</v>
      </c>
      <c r="E1649" s="18">
        <v>1.05</v>
      </c>
      <c r="F1649" s="18">
        <v>1.26</v>
      </c>
      <c r="G1649" s="20" t="s">
        <v>1939</v>
      </c>
      <c r="H1649" s="19" t="str">
        <f>HYPERLINK("https://elefant.by/catalogue/173531422","Посмотреть на сайте ...")</f>
        <v>Посмотреть на сайте ...</v>
      </c>
    </row>
    <row r="1650" spans="1:8" s="16" customFormat="1" x14ac:dyDescent="0.25">
      <c r="A1650" s="17">
        <v>1640</v>
      </c>
      <c r="B1650" s="17" t="s">
        <v>9</v>
      </c>
      <c r="C1650" s="17" t="s">
        <v>1940</v>
      </c>
      <c r="D1650" s="18">
        <v>12</v>
      </c>
      <c r="E1650" s="18">
        <v>1.05</v>
      </c>
      <c r="F1650" s="18">
        <v>1.26</v>
      </c>
      <c r="G1650" s="20" t="s">
        <v>1941</v>
      </c>
      <c r="H1650" s="19" t="str">
        <f>HYPERLINK("https://elefant.by/catalogue/441143111","Посмотреть на сайте ...")</f>
        <v>Посмотреть на сайте ...</v>
      </c>
    </row>
    <row r="1651" spans="1:8" s="16" customFormat="1" x14ac:dyDescent="0.25">
      <c r="A1651" s="17">
        <v>1641</v>
      </c>
      <c r="B1651" s="17" t="s">
        <v>9</v>
      </c>
      <c r="C1651" s="17" t="s">
        <v>1942</v>
      </c>
      <c r="D1651" s="18">
        <v>12</v>
      </c>
      <c r="E1651" s="18">
        <v>1.05</v>
      </c>
      <c r="F1651" s="18">
        <v>1.26</v>
      </c>
      <c r="G1651" s="20" t="s">
        <v>1943</v>
      </c>
      <c r="H1651" s="19" t="str">
        <f>HYPERLINK("https://elefant.by/catalogue/441143110","Посмотреть на сайте ...")</f>
        <v>Посмотреть на сайте ...</v>
      </c>
    </row>
    <row r="1652" spans="1:8" s="16" customFormat="1" x14ac:dyDescent="0.25">
      <c r="A1652" s="17">
        <v>1642</v>
      </c>
      <c r="B1652" s="17" t="s">
        <v>9</v>
      </c>
      <c r="C1652" s="17" t="s">
        <v>3603</v>
      </c>
      <c r="D1652" s="18">
        <v>12</v>
      </c>
      <c r="E1652" s="18">
        <v>1.1299999999999999</v>
      </c>
      <c r="F1652" s="18">
        <v>1.36</v>
      </c>
      <c r="G1652" s="20" t="s">
        <v>4700</v>
      </c>
      <c r="H1652" s="19" t="str">
        <f>HYPERLINK("https://elefant.by/catalogue/699663260","Посмотреть на сайте ...")</f>
        <v>Посмотреть на сайте ...</v>
      </c>
    </row>
    <row r="1653" spans="1:8" s="16" customFormat="1" x14ac:dyDescent="0.25">
      <c r="A1653" s="17">
        <v>1643</v>
      </c>
      <c r="B1653" s="17" t="s">
        <v>9</v>
      </c>
      <c r="C1653" s="17" t="s">
        <v>3604</v>
      </c>
      <c r="D1653" s="18">
        <v>12</v>
      </c>
      <c r="E1653" s="18">
        <v>0.73</v>
      </c>
      <c r="F1653" s="18">
        <v>0.88</v>
      </c>
      <c r="G1653" s="20" t="s">
        <v>4701</v>
      </c>
      <c r="H1653" s="19" t="str">
        <f>HYPERLINK("https://elefant.by/catalogue/442697520","Посмотреть на сайте ...")</f>
        <v>Посмотреть на сайте ...</v>
      </c>
    </row>
    <row r="1654" spans="1:8" s="16" customFormat="1" x14ac:dyDescent="0.25">
      <c r="A1654" s="17">
        <v>1644</v>
      </c>
      <c r="B1654" s="17" t="s">
        <v>9</v>
      </c>
      <c r="C1654" s="17" t="s">
        <v>1944</v>
      </c>
      <c r="D1654" s="18">
        <v>12</v>
      </c>
      <c r="E1654" s="18">
        <v>0.73</v>
      </c>
      <c r="F1654" s="18">
        <v>0.88</v>
      </c>
      <c r="G1654" s="20" t="s">
        <v>1945</v>
      </c>
      <c r="H1654" s="19" t="str">
        <f>HYPERLINK("https://elefant.by/catalogue/173531421","Посмотреть на сайте ...")</f>
        <v>Посмотреть на сайте ...</v>
      </c>
    </row>
    <row r="1655" spans="1:8" s="16" customFormat="1" x14ac:dyDescent="0.25">
      <c r="A1655" s="17">
        <v>1645</v>
      </c>
      <c r="B1655" s="17" t="s">
        <v>9</v>
      </c>
      <c r="C1655" s="17" t="s">
        <v>1946</v>
      </c>
      <c r="D1655" s="18">
        <v>12</v>
      </c>
      <c r="E1655" s="18">
        <v>0.73</v>
      </c>
      <c r="F1655" s="18">
        <v>0.88</v>
      </c>
      <c r="G1655" s="20" t="s">
        <v>1947</v>
      </c>
      <c r="H1655" s="19" t="str">
        <f>HYPERLINK("https://elefant.by/catalogue/151420476","Посмотреть на сайте ...")</f>
        <v>Посмотреть на сайте ...</v>
      </c>
    </row>
    <row r="1656" spans="1:8" s="16" customFormat="1" x14ac:dyDescent="0.25">
      <c r="A1656" s="17">
        <v>1646</v>
      </c>
      <c r="B1656" s="17" t="s">
        <v>9</v>
      </c>
      <c r="C1656" s="17" t="s">
        <v>3605</v>
      </c>
      <c r="D1656" s="18">
        <v>12</v>
      </c>
      <c r="E1656" s="18">
        <v>0.73</v>
      </c>
      <c r="F1656" s="18">
        <v>0.88</v>
      </c>
      <c r="G1656" s="20" t="s">
        <v>4702</v>
      </c>
      <c r="H1656" s="19" t="str">
        <f>HYPERLINK("https://elefant.by/catalogue/151420871","Посмотреть на сайте ...")</f>
        <v>Посмотреть на сайте ...</v>
      </c>
    </row>
    <row r="1657" spans="1:8" s="16" customFormat="1" x14ac:dyDescent="0.25">
      <c r="A1657" s="17">
        <v>1647</v>
      </c>
      <c r="B1657" s="17" t="s">
        <v>9</v>
      </c>
      <c r="C1657" s="17" t="s">
        <v>1948</v>
      </c>
      <c r="D1657" s="18">
        <v>12</v>
      </c>
      <c r="E1657" s="18">
        <v>1.56</v>
      </c>
      <c r="F1657" s="18">
        <v>1.87</v>
      </c>
      <c r="G1657" s="20" t="s">
        <v>1949</v>
      </c>
      <c r="H1657" s="19" t="str">
        <f>HYPERLINK("https://elefant.by/catalogue/173848404","Посмотреть на сайте ...")</f>
        <v>Посмотреть на сайте ...</v>
      </c>
    </row>
    <row r="1658" spans="1:8" s="16" customFormat="1" x14ac:dyDescent="0.25">
      <c r="A1658" s="17">
        <v>1648</v>
      </c>
      <c r="B1658" s="17" t="s">
        <v>9</v>
      </c>
      <c r="C1658" s="17" t="s">
        <v>1950</v>
      </c>
      <c r="D1658" s="18">
        <v>12</v>
      </c>
      <c r="E1658" s="18">
        <v>1.56</v>
      </c>
      <c r="F1658" s="18">
        <v>1.87</v>
      </c>
      <c r="G1658" s="20" t="s">
        <v>1951</v>
      </c>
      <c r="H1658" s="19" t="str">
        <f>HYPERLINK("https://elefant.by/catalogue/151107541","Посмотреть на сайте ...")</f>
        <v>Посмотреть на сайте ...</v>
      </c>
    </row>
    <row r="1659" spans="1:8" s="16" customFormat="1" x14ac:dyDescent="0.25">
      <c r="A1659" s="17">
        <v>1649</v>
      </c>
      <c r="B1659" s="17" t="s">
        <v>9</v>
      </c>
      <c r="C1659" s="17" t="s">
        <v>1952</v>
      </c>
      <c r="D1659" s="18">
        <v>12</v>
      </c>
      <c r="E1659" s="18">
        <v>0.59</v>
      </c>
      <c r="F1659" s="18">
        <v>0.71</v>
      </c>
      <c r="G1659" s="20" t="s">
        <v>1953</v>
      </c>
      <c r="H1659" s="19" t="str">
        <f>HYPERLINK("https://elefant.by/catalogue/513007089","Посмотреть на сайте ...")</f>
        <v>Посмотреть на сайте ...</v>
      </c>
    </row>
    <row r="1660" spans="1:8" s="16" customFormat="1" x14ac:dyDescent="0.25">
      <c r="A1660" s="17">
        <v>1650</v>
      </c>
      <c r="B1660" s="17" t="s">
        <v>9</v>
      </c>
      <c r="C1660" s="17" t="s">
        <v>3606</v>
      </c>
      <c r="D1660" s="18">
        <v>12</v>
      </c>
      <c r="E1660" s="18">
        <v>0.59</v>
      </c>
      <c r="F1660" s="18">
        <v>0.71</v>
      </c>
      <c r="G1660" s="20" t="s">
        <v>4703</v>
      </c>
      <c r="H1660" s="19" t="str">
        <f>HYPERLINK("https://elefant.by/catalogue/513007090","Посмотреть на сайте ...")</f>
        <v>Посмотреть на сайте ...</v>
      </c>
    </row>
    <row r="1661" spans="1:8" s="16" customFormat="1" x14ac:dyDescent="0.25">
      <c r="A1661" s="17">
        <v>1651</v>
      </c>
      <c r="B1661" s="17" t="s">
        <v>9</v>
      </c>
      <c r="C1661" s="17" t="s">
        <v>1954</v>
      </c>
      <c r="D1661" s="18">
        <v>12</v>
      </c>
      <c r="E1661" s="18">
        <v>0.59</v>
      </c>
      <c r="F1661" s="18">
        <v>0.71</v>
      </c>
      <c r="G1661" s="20" t="s">
        <v>1955</v>
      </c>
      <c r="H1661" s="19" t="str">
        <f>HYPERLINK("https://elefant.by/catalogue/513007091","Посмотреть на сайте ...")</f>
        <v>Посмотреть на сайте ...</v>
      </c>
    </row>
    <row r="1662" spans="1:8" s="16" customFormat="1" x14ac:dyDescent="0.25">
      <c r="A1662" s="17">
        <v>1652</v>
      </c>
      <c r="B1662" s="17" t="s">
        <v>3109</v>
      </c>
      <c r="C1662" s="17" t="s">
        <v>3609</v>
      </c>
      <c r="D1662" s="18">
        <v>24</v>
      </c>
      <c r="E1662" s="18">
        <v>0.61</v>
      </c>
      <c r="F1662" s="18">
        <v>0.73</v>
      </c>
      <c r="G1662" s="20" t="s">
        <v>4706</v>
      </c>
      <c r="H1662" s="19" t="str">
        <f>HYPERLINK("https://elefant.by/catalogue/651855986","Посмотреть на сайте ...")</f>
        <v>Посмотреть на сайте ...</v>
      </c>
    </row>
    <row r="1663" spans="1:8" s="16" customFormat="1" x14ac:dyDescent="0.25">
      <c r="A1663" s="17">
        <v>1653</v>
      </c>
      <c r="B1663" s="17" t="s">
        <v>3109</v>
      </c>
      <c r="C1663" s="17" t="s">
        <v>3610</v>
      </c>
      <c r="D1663" s="18">
        <v>24</v>
      </c>
      <c r="E1663" s="18">
        <v>0.61</v>
      </c>
      <c r="F1663" s="18">
        <v>0.73</v>
      </c>
      <c r="G1663" s="20" t="s">
        <v>4707</v>
      </c>
      <c r="H1663" s="19" t="str">
        <f>HYPERLINK("https://elefant.by/catalogue/651855985","Посмотреть на сайте ...")</f>
        <v>Посмотреть на сайте ...</v>
      </c>
    </row>
    <row r="1664" spans="1:8" s="16" customFormat="1" x14ac:dyDescent="0.25">
      <c r="A1664" s="17">
        <v>1654</v>
      </c>
      <c r="B1664" s="17" t="s">
        <v>3109</v>
      </c>
      <c r="C1664" s="17" t="s">
        <v>3611</v>
      </c>
      <c r="D1664" s="18">
        <v>24</v>
      </c>
      <c r="E1664" s="18">
        <v>0.65</v>
      </c>
      <c r="F1664" s="18">
        <v>0.78</v>
      </c>
      <c r="G1664" s="20" t="s">
        <v>4708</v>
      </c>
      <c r="H1664" s="19" t="str">
        <f>HYPERLINK("https://elefant.by/catalogue/651855987","Посмотреть на сайте ...")</f>
        <v>Посмотреть на сайте ...</v>
      </c>
    </row>
    <row r="1665" spans="1:8" s="16" customFormat="1" x14ac:dyDescent="0.25">
      <c r="A1665" s="17">
        <v>1655</v>
      </c>
      <c r="B1665" s="17" t="s">
        <v>9</v>
      </c>
      <c r="C1665" s="17" t="s">
        <v>1962</v>
      </c>
      <c r="D1665" s="18">
        <v>12</v>
      </c>
      <c r="E1665" s="18">
        <v>1</v>
      </c>
      <c r="F1665" s="18">
        <v>1.2</v>
      </c>
      <c r="G1665" s="20" t="s">
        <v>1963</v>
      </c>
      <c r="H1665" s="19" t="str">
        <f>HYPERLINK("https://elefant.by/catalogue/374387173","Посмотреть на сайте ...")</f>
        <v>Посмотреть на сайте ...</v>
      </c>
    </row>
    <row r="1666" spans="1:8" s="16" customFormat="1" x14ac:dyDescent="0.25">
      <c r="A1666" s="17">
        <v>1656</v>
      </c>
      <c r="B1666" s="17" t="s">
        <v>9</v>
      </c>
      <c r="C1666" s="17" t="s">
        <v>1964</v>
      </c>
      <c r="D1666" s="18">
        <v>12</v>
      </c>
      <c r="E1666" s="18">
        <v>1</v>
      </c>
      <c r="F1666" s="18">
        <v>1.2</v>
      </c>
      <c r="G1666" s="20" t="s">
        <v>1965</v>
      </c>
      <c r="H1666" s="19" t="str">
        <f>HYPERLINK("https://elefant.by/catalogue/374387171","Посмотреть на сайте ...")</f>
        <v>Посмотреть на сайте ...</v>
      </c>
    </row>
    <row r="1667" spans="1:8" s="16" customFormat="1" x14ac:dyDescent="0.25">
      <c r="A1667" s="17">
        <v>1657</v>
      </c>
      <c r="B1667" s="17" t="s">
        <v>9</v>
      </c>
      <c r="C1667" s="17" t="s">
        <v>1966</v>
      </c>
      <c r="D1667" s="18">
        <v>12</v>
      </c>
      <c r="E1667" s="18">
        <v>1</v>
      </c>
      <c r="F1667" s="18">
        <v>1.2</v>
      </c>
      <c r="G1667" s="20" t="s">
        <v>1967</v>
      </c>
      <c r="H1667" s="19" t="str">
        <f>HYPERLINK("https://elefant.by/catalogue/374387172","Посмотреть на сайте ...")</f>
        <v>Посмотреть на сайте ...</v>
      </c>
    </row>
    <row r="1668" spans="1:8" s="16" customFormat="1" x14ac:dyDescent="0.25">
      <c r="A1668" s="17">
        <v>1658</v>
      </c>
      <c r="B1668" s="17" t="s">
        <v>12</v>
      </c>
      <c r="C1668" s="17" t="s">
        <v>1968</v>
      </c>
      <c r="D1668" s="18">
        <v>12</v>
      </c>
      <c r="E1668" s="18">
        <v>0.63</v>
      </c>
      <c r="F1668" s="18">
        <v>0.76</v>
      </c>
      <c r="G1668" s="20" t="s">
        <v>1969</v>
      </c>
      <c r="H1668" s="19" t="str">
        <f>HYPERLINK("https://elefant.by/catalogue/523367808","Посмотреть на сайте ...")</f>
        <v>Посмотреть на сайте ...</v>
      </c>
    </row>
    <row r="1669" spans="1:8" s="16" customFormat="1" x14ac:dyDescent="0.25">
      <c r="A1669" s="17">
        <v>1659</v>
      </c>
      <c r="B1669" s="17" t="s">
        <v>12</v>
      </c>
      <c r="C1669" s="17" t="s">
        <v>1970</v>
      </c>
      <c r="D1669" s="18">
        <v>12</v>
      </c>
      <c r="E1669" s="18">
        <v>0.34</v>
      </c>
      <c r="F1669" s="18">
        <v>0.41</v>
      </c>
      <c r="G1669" s="20" t="s">
        <v>1971</v>
      </c>
      <c r="H1669" s="19" t="str">
        <f>HYPERLINK("https://elefant.by/catalogue/523367807","Посмотреть на сайте ...")</f>
        <v>Посмотреть на сайте ...</v>
      </c>
    </row>
    <row r="1670" spans="1:8" s="16" customFormat="1" x14ac:dyDescent="0.25">
      <c r="A1670" s="17">
        <v>1660</v>
      </c>
      <c r="B1670" s="17" t="s">
        <v>12</v>
      </c>
      <c r="C1670" s="17" t="s">
        <v>1972</v>
      </c>
      <c r="D1670" s="18">
        <v>12</v>
      </c>
      <c r="E1670" s="18">
        <v>0.28000000000000003</v>
      </c>
      <c r="F1670" s="18">
        <v>0.34</v>
      </c>
      <c r="G1670" s="20" t="s">
        <v>1973</v>
      </c>
      <c r="H1670" s="19" t="str">
        <f>HYPERLINK("https://elefant.by/catalogue/567232159","Посмотреть на сайте ...")</f>
        <v>Посмотреть на сайте ...</v>
      </c>
    </row>
    <row r="1671" spans="1:8" s="16" customFormat="1" x14ac:dyDescent="0.25">
      <c r="A1671" s="17">
        <v>1661</v>
      </c>
      <c r="B1671" s="17" t="s">
        <v>12</v>
      </c>
      <c r="C1671" s="17" t="s">
        <v>1974</v>
      </c>
      <c r="D1671" s="18">
        <v>12</v>
      </c>
      <c r="E1671" s="18">
        <v>0.28000000000000003</v>
      </c>
      <c r="F1671" s="18">
        <v>0.34</v>
      </c>
      <c r="G1671" s="20" t="s">
        <v>1975</v>
      </c>
      <c r="H1671" s="19" t="str">
        <f>HYPERLINK("https://elefant.by/catalogue/567232157","Посмотреть на сайте ...")</f>
        <v>Посмотреть на сайте ...</v>
      </c>
    </row>
    <row r="1672" spans="1:8" s="16" customFormat="1" x14ac:dyDescent="0.25">
      <c r="A1672" s="17">
        <v>1662</v>
      </c>
      <c r="B1672" s="17" t="s">
        <v>12</v>
      </c>
      <c r="C1672" s="17" t="s">
        <v>1976</v>
      </c>
      <c r="D1672" s="18">
        <v>12</v>
      </c>
      <c r="E1672" s="18">
        <v>0.28000000000000003</v>
      </c>
      <c r="F1672" s="18">
        <v>0.34</v>
      </c>
      <c r="G1672" s="20" t="s">
        <v>1977</v>
      </c>
      <c r="H1672" s="19" t="str">
        <f>HYPERLINK("https://elefant.by/catalogue/641174828","Посмотреть на сайте ...")</f>
        <v>Посмотреть на сайте ...</v>
      </c>
    </row>
    <row r="1673" spans="1:8" s="16" customFormat="1" x14ac:dyDescent="0.25">
      <c r="A1673" s="17">
        <v>1663</v>
      </c>
      <c r="B1673" s="17" t="s">
        <v>12</v>
      </c>
      <c r="C1673" s="17" t="s">
        <v>1978</v>
      </c>
      <c r="D1673" s="18">
        <v>12</v>
      </c>
      <c r="E1673" s="18">
        <v>0.28000000000000003</v>
      </c>
      <c r="F1673" s="18">
        <v>0.34</v>
      </c>
      <c r="G1673" s="20" t="s">
        <v>1979</v>
      </c>
      <c r="H1673" s="19" t="str">
        <f>HYPERLINK("https://elefant.by/catalogue/567232160","Посмотреть на сайте ...")</f>
        <v>Посмотреть на сайте ...</v>
      </c>
    </row>
    <row r="1674" spans="1:8" s="16" customFormat="1" x14ac:dyDescent="0.25">
      <c r="A1674" s="17">
        <v>1664</v>
      </c>
      <c r="B1674" s="17" t="s">
        <v>12</v>
      </c>
      <c r="C1674" s="17" t="s">
        <v>1980</v>
      </c>
      <c r="D1674" s="18">
        <v>12</v>
      </c>
      <c r="E1674" s="18">
        <v>0.28000000000000003</v>
      </c>
      <c r="F1674" s="18">
        <v>0.34</v>
      </c>
      <c r="G1674" s="20" t="s">
        <v>1981</v>
      </c>
      <c r="H1674" s="19" t="str">
        <f>HYPERLINK("https://elefant.by/catalogue/617947420","Посмотреть на сайте ...")</f>
        <v>Посмотреть на сайте ...</v>
      </c>
    </row>
    <row r="1675" spans="1:8" s="16" customFormat="1" x14ac:dyDescent="0.25">
      <c r="A1675" s="17">
        <v>1665</v>
      </c>
      <c r="B1675" s="17" t="s">
        <v>16</v>
      </c>
      <c r="C1675" s="17" t="s">
        <v>1982</v>
      </c>
      <c r="D1675" s="18">
        <v>12</v>
      </c>
      <c r="E1675" s="18">
        <v>0.28000000000000003</v>
      </c>
      <c r="F1675" s="18">
        <v>0.34</v>
      </c>
      <c r="G1675" s="20" t="s">
        <v>1983</v>
      </c>
      <c r="H1675" s="19" t="str">
        <f>HYPERLINK("https://elefant.by/catalogue/523412812","Посмотреть на сайте ...")</f>
        <v>Посмотреть на сайте ...</v>
      </c>
    </row>
    <row r="1676" spans="1:8" s="16" customFormat="1" x14ac:dyDescent="0.25">
      <c r="A1676" s="17">
        <v>1666</v>
      </c>
      <c r="B1676" s="17" t="s">
        <v>12</v>
      </c>
      <c r="C1676" s="17" t="s">
        <v>1986</v>
      </c>
      <c r="D1676" s="18">
        <v>50</v>
      </c>
      <c r="E1676" s="18">
        <v>0.15</v>
      </c>
      <c r="F1676" s="18">
        <v>0.18</v>
      </c>
      <c r="G1676" s="20" t="s">
        <v>1987</v>
      </c>
      <c r="H1676" s="19" t="str">
        <f>HYPERLINK("https://elefant.by/catalogue/452522920","Посмотреть на сайте ...")</f>
        <v>Посмотреть на сайте ...</v>
      </c>
    </row>
    <row r="1677" spans="1:8" s="16" customFormat="1" x14ac:dyDescent="0.25">
      <c r="A1677" s="17">
        <v>1667</v>
      </c>
      <c r="B1677" s="17" t="s">
        <v>12</v>
      </c>
      <c r="C1677" s="17" t="s">
        <v>1988</v>
      </c>
      <c r="D1677" s="18">
        <v>50</v>
      </c>
      <c r="E1677" s="18">
        <v>0.15</v>
      </c>
      <c r="F1677" s="18">
        <v>0.18</v>
      </c>
      <c r="G1677" s="20" t="s">
        <v>1989</v>
      </c>
      <c r="H1677" s="19" t="str">
        <f>HYPERLINK("https://elefant.by/catalogue/452522919","Посмотреть на сайте ...")</f>
        <v>Посмотреть на сайте ...</v>
      </c>
    </row>
    <row r="1678" spans="1:8" s="16" customFormat="1" x14ac:dyDescent="0.25">
      <c r="A1678" s="17">
        <v>1668</v>
      </c>
      <c r="B1678" s="17" t="s">
        <v>63</v>
      </c>
      <c r="C1678" s="17" t="s">
        <v>1990</v>
      </c>
      <c r="D1678" s="18">
        <v>50</v>
      </c>
      <c r="E1678" s="18">
        <v>0.19</v>
      </c>
      <c r="F1678" s="18">
        <v>0.23</v>
      </c>
      <c r="G1678" s="20" t="s">
        <v>1991</v>
      </c>
      <c r="H1678" s="19" t="str">
        <f>HYPERLINK("https://elefant.by/catalogue/452522917","Посмотреть на сайте ...")</f>
        <v>Посмотреть на сайте ...</v>
      </c>
    </row>
    <row r="1679" spans="1:8" s="16" customFormat="1" x14ac:dyDescent="0.25">
      <c r="A1679" s="17">
        <v>1669</v>
      </c>
      <c r="B1679" s="17" t="s">
        <v>12</v>
      </c>
      <c r="C1679" s="17" t="s">
        <v>1992</v>
      </c>
      <c r="D1679" s="18">
        <v>50</v>
      </c>
      <c r="E1679" s="18">
        <v>0.15</v>
      </c>
      <c r="F1679" s="18">
        <v>0.18</v>
      </c>
      <c r="G1679" s="20" t="s">
        <v>1993</v>
      </c>
      <c r="H1679" s="19" t="str">
        <f>HYPERLINK("https://elefant.by/catalogue/452522918","Посмотреть на сайте ...")</f>
        <v>Посмотреть на сайте ...</v>
      </c>
    </row>
    <row r="1680" spans="1:8" s="16" customFormat="1" x14ac:dyDescent="0.25">
      <c r="A1680" s="17">
        <v>1670</v>
      </c>
      <c r="B1680" s="17" t="s">
        <v>12</v>
      </c>
      <c r="C1680" s="17" t="s">
        <v>1994</v>
      </c>
      <c r="D1680" s="18">
        <v>50</v>
      </c>
      <c r="E1680" s="18">
        <v>0.15</v>
      </c>
      <c r="F1680" s="18">
        <v>0.18</v>
      </c>
      <c r="G1680" s="20" t="s">
        <v>1995</v>
      </c>
      <c r="H1680" s="19" t="str">
        <f>HYPERLINK("https://elefant.by/catalogue/452511396","Посмотреть на сайте ...")</f>
        <v>Посмотреть на сайте ...</v>
      </c>
    </row>
    <row r="1681" spans="1:8" s="16" customFormat="1" x14ac:dyDescent="0.25">
      <c r="A1681" s="17">
        <v>1671</v>
      </c>
      <c r="B1681" s="17" t="s">
        <v>12</v>
      </c>
      <c r="C1681" s="17" t="s">
        <v>1984</v>
      </c>
      <c r="D1681" s="18">
        <v>50</v>
      </c>
      <c r="E1681" s="18">
        <v>0.24</v>
      </c>
      <c r="F1681" s="18">
        <v>0.28999999999999998</v>
      </c>
      <c r="G1681" s="20" t="s">
        <v>1985</v>
      </c>
      <c r="H1681" s="19" t="str">
        <f>HYPERLINK("https://elefant.by/catalogue/452522913","Посмотреть на сайте ...")</f>
        <v>Посмотреть на сайте ...</v>
      </c>
    </row>
    <row r="1682" spans="1:8" s="16" customFormat="1" x14ac:dyDescent="0.25">
      <c r="A1682" s="17">
        <v>1672</v>
      </c>
      <c r="B1682" s="17" t="s">
        <v>17</v>
      </c>
      <c r="C1682" s="17" t="s">
        <v>3612</v>
      </c>
      <c r="D1682" s="18">
        <v>24</v>
      </c>
      <c r="E1682" s="18">
        <v>0.95</v>
      </c>
      <c r="F1682" s="18">
        <v>1.1399999999999999</v>
      </c>
      <c r="G1682" s="20" t="s">
        <v>4709</v>
      </c>
      <c r="H1682" s="19" t="str">
        <f>HYPERLINK("https://elefant.by/catalogue/694957983","Посмотреть на сайте ...")</f>
        <v>Посмотреть на сайте ...</v>
      </c>
    </row>
    <row r="1683" spans="1:8" s="16" customFormat="1" x14ac:dyDescent="0.25">
      <c r="A1683" s="17">
        <v>1673</v>
      </c>
      <c r="B1683" s="17" t="s">
        <v>17</v>
      </c>
      <c r="C1683" s="17" t="s">
        <v>1996</v>
      </c>
      <c r="D1683" s="18">
        <v>50</v>
      </c>
      <c r="E1683" s="18">
        <v>0.35</v>
      </c>
      <c r="F1683" s="18">
        <v>0.42</v>
      </c>
      <c r="G1683" s="20" t="s">
        <v>1997</v>
      </c>
      <c r="H1683" s="19" t="str">
        <f>HYPERLINK("https://elefant.by/catalogue/570457662","Посмотреть на сайте ...")</f>
        <v>Посмотреть на сайте ...</v>
      </c>
    </row>
    <row r="1684" spans="1:8" s="16" customFormat="1" x14ac:dyDescent="0.25">
      <c r="A1684" s="17">
        <v>1674</v>
      </c>
      <c r="B1684" s="17" t="s">
        <v>17</v>
      </c>
      <c r="C1684" s="17" t="s">
        <v>1998</v>
      </c>
      <c r="D1684" s="18">
        <v>60</v>
      </c>
      <c r="E1684" s="18">
        <v>0.39</v>
      </c>
      <c r="F1684" s="18">
        <v>0.47</v>
      </c>
      <c r="G1684" s="20" t="s">
        <v>4710</v>
      </c>
      <c r="H1684" s="19" t="str">
        <f>HYPERLINK("https://elefant.by/catalogue/618937618","Посмотреть на сайте ...")</f>
        <v>Посмотреть на сайте ...</v>
      </c>
    </row>
    <row r="1685" spans="1:8" s="16" customFormat="1" x14ac:dyDescent="0.25">
      <c r="A1685" s="17">
        <v>1675</v>
      </c>
      <c r="B1685" s="17" t="s">
        <v>17</v>
      </c>
      <c r="C1685" s="17" t="s">
        <v>1999</v>
      </c>
      <c r="D1685" s="18">
        <v>36</v>
      </c>
      <c r="E1685" s="18">
        <v>0.85</v>
      </c>
      <c r="F1685" s="18">
        <v>1.02</v>
      </c>
      <c r="G1685" s="20" t="s">
        <v>2000</v>
      </c>
      <c r="H1685" s="19" t="str">
        <f>HYPERLINK("https://elefant.by/catalogue/585408219","Посмотреть на сайте ...")</f>
        <v>Посмотреть на сайте ...</v>
      </c>
    </row>
    <row r="1686" spans="1:8" s="16" customFormat="1" x14ac:dyDescent="0.25">
      <c r="A1686" s="17">
        <v>1676</v>
      </c>
      <c r="B1686" s="17" t="s">
        <v>17</v>
      </c>
      <c r="C1686" s="17" t="s">
        <v>2001</v>
      </c>
      <c r="D1686" s="18">
        <v>50</v>
      </c>
      <c r="E1686" s="18">
        <v>0.27</v>
      </c>
      <c r="F1686" s="18">
        <v>0.32</v>
      </c>
      <c r="G1686" s="20" t="s">
        <v>2002</v>
      </c>
      <c r="H1686" s="19" t="str">
        <f>HYPERLINK("https://elefant.by/catalogue/629709642","Посмотреть на сайте ...")</f>
        <v>Посмотреть на сайте ...</v>
      </c>
    </row>
    <row r="1687" spans="1:8" s="16" customFormat="1" x14ac:dyDescent="0.25">
      <c r="A1687" s="17">
        <v>1677</v>
      </c>
      <c r="B1687" s="17" t="s">
        <v>17</v>
      </c>
      <c r="C1687" s="17" t="s">
        <v>2003</v>
      </c>
      <c r="D1687" s="18">
        <v>50</v>
      </c>
      <c r="E1687" s="18">
        <v>0.28999999999999998</v>
      </c>
      <c r="F1687" s="18">
        <v>0.35</v>
      </c>
      <c r="G1687" s="20" t="s">
        <v>2004</v>
      </c>
      <c r="H1687" s="19" t="str">
        <f>HYPERLINK("https://elefant.by/catalogue/570496258","Посмотреть на сайте ...")</f>
        <v>Посмотреть на сайте ...</v>
      </c>
    </row>
    <row r="1688" spans="1:8" s="16" customFormat="1" x14ac:dyDescent="0.25">
      <c r="A1688" s="17">
        <v>1678</v>
      </c>
      <c r="B1688" s="17" t="s">
        <v>3109</v>
      </c>
      <c r="C1688" s="17" t="s">
        <v>3613</v>
      </c>
      <c r="D1688" s="18">
        <v>24</v>
      </c>
      <c r="E1688" s="18">
        <v>0.84</v>
      </c>
      <c r="F1688" s="18">
        <v>1.01</v>
      </c>
      <c r="G1688" s="20" t="s">
        <v>4711</v>
      </c>
      <c r="H1688" s="19" t="str">
        <f>HYPERLINK("https://elefant.by/catalogue/651855988","Посмотреть на сайте ...")</f>
        <v>Посмотреть на сайте ...</v>
      </c>
    </row>
    <row r="1689" spans="1:8" s="16" customFormat="1" x14ac:dyDescent="0.25">
      <c r="A1689" s="17">
        <v>1679</v>
      </c>
      <c r="B1689" s="17" t="s">
        <v>3109</v>
      </c>
      <c r="C1689" s="17" t="s">
        <v>3614</v>
      </c>
      <c r="D1689" s="18">
        <v>24</v>
      </c>
      <c r="E1689" s="18">
        <v>1.1100000000000001</v>
      </c>
      <c r="F1689" s="18">
        <v>1.33</v>
      </c>
      <c r="G1689" s="20" t="s">
        <v>4712</v>
      </c>
      <c r="H1689" s="19" t="str">
        <f>HYPERLINK("https://elefant.by/catalogue/651736000","Посмотреть на сайте ...")</f>
        <v>Посмотреть на сайте ...</v>
      </c>
    </row>
    <row r="1690" spans="1:8" s="16" customFormat="1" x14ac:dyDescent="0.25">
      <c r="A1690" s="17">
        <v>1680</v>
      </c>
      <c r="B1690" s="17" t="s">
        <v>3109</v>
      </c>
      <c r="C1690" s="17" t="s">
        <v>3615</v>
      </c>
      <c r="D1690" s="18">
        <v>24</v>
      </c>
      <c r="E1690" s="18">
        <v>1.43</v>
      </c>
      <c r="F1690" s="18">
        <v>1.72</v>
      </c>
      <c r="G1690" s="20" t="s">
        <v>4713</v>
      </c>
      <c r="H1690" s="19" t="str">
        <f>HYPERLINK("https://elefant.by/catalogue/679514946","Посмотреть на сайте ...")</f>
        <v>Посмотреть на сайте ...</v>
      </c>
    </row>
    <row r="1691" spans="1:8" s="16" customFormat="1" x14ac:dyDescent="0.25">
      <c r="A1691" s="17">
        <v>1681</v>
      </c>
      <c r="B1691" s="17" t="s">
        <v>3109</v>
      </c>
      <c r="C1691" s="17" t="s">
        <v>3616</v>
      </c>
      <c r="D1691" s="18">
        <v>24</v>
      </c>
      <c r="E1691" s="18">
        <v>1.53</v>
      </c>
      <c r="F1691" s="18">
        <v>1.84</v>
      </c>
      <c r="G1691" s="20" t="s">
        <v>4714</v>
      </c>
      <c r="H1691" s="19" t="str">
        <f>HYPERLINK("https://elefant.by/catalogue/679514947","Посмотреть на сайте ...")</f>
        <v>Посмотреть на сайте ...</v>
      </c>
    </row>
    <row r="1692" spans="1:8" s="16" customFormat="1" x14ac:dyDescent="0.25">
      <c r="A1692" s="17">
        <v>1682</v>
      </c>
      <c r="B1692" s="17" t="s">
        <v>3109</v>
      </c>
      <c r="C1692" s="17" t="s">
        <v>3617</v>
      </c>
      <c r="D1692" s="18">
        <v>24</v>
      </c>
      <c r="E1692" s="18">
        <v>1.53</v>
      </c>
      <c r="F1692" s="18">
        <v>1.84</v>
      </c>
      <c r="G1692" s="20" t="s">
        <v>4715</v>
      </c>
      <c r="H1692" s="19" t="str">
        <f>HYPERLINK("https://elefant.by/catalogue/704265112","Посмотреть на сайте ...")</f>
        <v>Посмотреть на сайте ...</v>
      </c>
    </row>
    <row r="1693" spans="1:8" s="16" customFormat="1" x14ac:dyDescent="0.25">
      <c r="A1693" s="17">
        <v>1683</v>
      </c>
      <c r="B1693" s="17" t="s">
        <v>3109</v>
      </c>
      <c r="C1693" s="17" t="s">
        <v>3618</v>
      </c>
      <c r="D1693" s="18">
        <v>24</v>
      </c>
      <c r="E1693" s="18">
        <v>1.43</v>
      </c>
      <c r="F1693" s="18">
        <v>1.72</v>
      </c>
      <c r="G1693" s="20" t="s">
        <v>4716</v>
      </c>
      <c r="H1693" s="19" t="str">
        <f>HYPERLINK("https://elefant.by/catalogue/651736001","Посмотреть на сайте ...")</f>
        <v>Посмотреть на сайте ...</v>
      </c>
    </row>
    <row r="1694" spans="1:8" s="16" customFormat="1" x14ac:dyDescent="0.25">
      <c r="A1694" s="17">
        <v>1684</v>
      </c>
      <c r="B1694" s="17" t="s">
        <v>3109</v>
      </c>
      <c r="C1694" s="17" t="s">
        <v>3619</v>
      </c>
      <c r="D1694" s="18">
        <v>24</v>
      </c>
      <c r="E1694" s="18">
        <v>1.43</v>
      </c>
      <c r="F1694" s="18">
        <v>1.72</v>
      </c>
      <c r="G1694" s="20" t="s">
        <v>4717</v>
      </c>
      <c r="H1694" s="19" t="str">
        <f>HYPERLINK("https://elefant.by/catalogue/685582580","Посмотреть на сайте ...")</f>
        <v>Посмотреть на сайте ...</v>
      </c>
    </row>
    <row r="1695" spans="1:8" s="16" customFormat="1" x14ac:dyDescent="0.25">
      <c r="A1695" s="17">
        <v>1685</v>
      </c>
      <c r="B1695" s="17" t="s">
        <v>3109</v>
      </c>
      <c r="C1695" s="17" t="s">
        <v>3620</v>
      </c>
      <c r="D1695" s="18">
        <v>24</v>
      </c>
      <c r="E1695" s="18">
        <v>1.1100000000000001</v>
      </c>
      <c r="F1695" s="18">
        <v>1.33</v>
      </c>
      <c r="G1695" s="20" t="s">
        <v>4718</v>
      </c>
      <c r="H1695" s="19" t="str">
        <f>HYPERLINK("https://elefant.by/catalogue/651736002","Посмотреть на сайте ...")</f>
        <v>Посмотреть на сайте ...</v>
      </c>
    </row>
    <row r="1696" spans="1:8" s="16" customFormat="1" x14ac:dyDescent="0.25">
      <c r="A1696" s="17">
        <v>1686</v>
      </c>
      <c r="B1696" s="17" t="s">
        <v>3109</v>
      </c>
      <c r="C1696" s="17" t="s">
        <v>3621</v>
      </c>
      <c r="D1696" s="18">
        <v>24</v>
      </c>
      <c r="E1696" s="18">
        <v>1.25</v>
      </c>
      <c r="F1696" s="18">
        <v>1.5</v>
      </c>
      <c r="G1696" s="20" t="s">
        <v>4719</v>
      </c>
      <c r="H1696" s="19" t="str">
        <f>HYPERLINK("https://elefant.by/catalogue/685582577","Посмотреть на сайте ...")</f>
        <v>Посмотреть на сайте ...</v>
      </c>
    </row>
    <row r="1697" spans="1:8" s="16" customFormat="1" x14ac:dyDescent="0.25">
      <c r="A1697" s="17">
        <v>1687</v>
      </c>
      <c r="B1697" s="17" t="s">
        <v>3109</v>
      </c>
      <c r="C1697" s="17" t="s">
        <v>3622</v>
      </c>
      <c r="D1697" s="18">
        <v>24</v>
      </c>
      <c r="E1697" s="18">
        <v>1.34</v>
      </c>
      <c r="F1697" s="18">
        <v>1.61</v>
      </c>
      <c r="G1697" s="20" t="s">
        <v>4720</v>
      </c>
      <c r="H1697" s="19" t="str">
        <f>HYPERLINK("https://elefant.by/catalogue/682401741","Посмотреть на сайте ...")</f>
        <v>Посмотреть на сайте ...</v>
      </c>
    </row>
    <row r="1698" spans="1:8" s="16" customFormat="1" x14ac:dyDescent="0.25">
      <c r="A1698" s="17">
        <v>1688</v>
      </c>
      <c r="B1698" s="17" t="s">
        <v>3109</v>
      </c>
      <c r="C1698" s="17" t="s">
        <v>3623</v>
      </c>
      <c r="D1698" s="18">
        <v>24</v>
      </c>
      <c r="E1698" s="18">
        <v>1.34</v>
      </c>
      <c r="F1698" s="18">
        <v>1.61</v>
      </c>
      <c r="G1698" s="20" t="s">
        <v>4721</v>
      </c>
      <c r="H1698" s="19" t="str">
        <f>HYPERLINK("https://elefant.by/catalogue/656443391","Посмотреть на сайте ...")</f>
        <v>Посмотреть на сайте ...</v>
      </c>
    </row>
    <row r="1699" spans="1:8" s="16" customFormat="1" x14ac:dyDescent="0.25">
      <c r="A1699" s="17">
        <v>1689</v>
      </c>
      <c r="B1699" s="17" t="s">
        <v>3109</v>
      </c>
      <c r="C1699" s="17" t="s">
        <v>3624</v>
      </c>
      <c r="D1699" s="18">
        <v>24</v>
      </c>
      <c r="E1699" s="18">
        <v>1.34</v>
      </c>
      <c r="F1699" s="18">
        <v>1.61</v>
      </c>
      <c r="G1699" s="20" t="s">
        <v>4722</v>
      </c>
      <c r="H1699" s="19" t="str">
        <f>HYPERLINK("https://elefant.by/catalogue/651736027","Посмотреть на сайте ...")</f>
        <v>Посмотреть на сайте ...</v>
      </c>
    </row>
    <row r="1700" spans="1:8" s="16" customFormat="1" x14ac:dyDescent="0.25">
      <c r="A1700" s="17">
        <v>1690</v>
      </c>
      <c r="B1700" s="17" t="s">
        <v>3109</v>
      </c>
      <c r="C1700" s="17" t="s">
        <v>3625</v>
      </c>
      <c r="D1700" s="18">
        <v>24</v>
      </c>
      <c r="E1700" s="18">
        <v>1.34</v>
      </c>
      <c r="F1700" s="18">
        <v>1.61</v>
      </c>
      <c r="G1700" s="20" t="s">
        <v>4723</v>
      </c>
      <c r="H1700" s="19" t="str">
        <f>HYPERLINK("https://elefant.by/catalogue/656443392","Посмотреть на сайте ...")</f>
        <v>Посмотреть на сайте ...</v>
      </c>
    </row>
    <row r="1701" spans="1:8" s="16" customFormat="1" x14ac:dyDescent="0.25">
      <c r="A1701" s="17">
        <v>1691</v>
      </c>
      <c r="B1701" s="17" t="s">
        <v>3109</v>
      </c>
      <c r="C1701" s="17" t="s">
        <v>3626</v>
      </c>
      <c r="D1701" s="18">
        <v>24</v>
      </c>
      <c r="E1701" s="18">
        <v>1.34</v>
      </c>
      <c r="F1701" s="18">
        <v>1.61</v>
      </c>
      <c r="G1701" s="20" t="s">
        <v>4724</v>
      </c>
      <c r="H1701" s="19" t="str">
        <f>HYPERLINK("https://elefant.by/catalogue/704306604","Посмотреть на сайте ...")</f>
        <v>Посмотреть на сайте ...</v>
      </c>
    </row>
    <row r="1702" spans="1:8" s="16" customFormat="1" x14ac:dyDescent="0.25">
      <c r="A1702" s="17">
        <v>1692</v>
      </c>
      <c r="B1702" s="17" t="s">
        <v>3109</v>
      </c>
      <c r="C1702" s="17" t="s">
        <v>3627</v>
      </c>
      <c r="D1702" s="18">
        <v>24</v>
      </c>
      <c r="E1702" s="18">
        <v>1.34</v>
      </c>
      <c r="F1702" s="18">
        <v>1.61</v>
      </c>
      <c r="G1702" s="20" t="s">
        <v>4725</v>
      </c>
      <c r="H1702" s="19" t="str">
        <f>HYPERLINK("https://elefant.by/catalogue/651855976","Посмотреть на сайте ...")</f>
        <v>Посмотреть на сайте ...</v>
      </c>
    </row>
    <row r="1703" spans="1:8" s="16" customFormat="1" x14ac:dyDescent="0.25">
      <c r="A1703" s="17">
        <v>1693</v>
      </c>
      <c r="B1703" s="17" t="s">
        <v>3109</v>
      </c>
      <c r="C1703" s="17" t="s">
        <v>3628</v>
      </c>
      <c r="D1703" s="18">
        <v>24</v>
      </c>
      <c r="E1703" s="18">
        <v>1.34</v>
      </c>
      <c r="F1703" s="18">
        <v>1.61</v>
      </c>
      <c r="G1703" s="20" t="s">
        <v>4726</v>
      </c>
      <c r="H1703" s="19" t="str">
        <f>HYPERLINK("https://elefant.by/catalogue/656443388","Посмотреть на сайте ...")</f>
        <v>Посмотреть на сайте ...</v>
      </c>
    </row>
    <row r="1704" spans="1:8" s="16" customFormat="1" x14ac:dyDescent="0.25">
      <c r="A1704" s="17">
        <v>1694</v>
      </c>
      <c r="B1704" s="17" t="s">
        <v>3109</v>
      </c>
      <c r="C1704" s="17" t="s">
        <v>3629</v>
      </c>
      <c r="D1704" s="18">
        <v>24</v>
      </c>
      <c r="E1704" s="18">
        <v>1.25</v>
      </c>
      <c r="F1704" s="18">
        <v>1.5</v>
      </c>
      <c r="G1704" s="20" t="s">
        <v>4727</v>
      </c>
      <c r="H1704" s="19" t="str">
        <f>HYPERLINK("https://elefant.by/catalogue/694939398","Посмотреть на сайте ...")</f>
        <v>Посмотреть на сайте ...</v>
      </c>
    </row>
    <row r="1705" spans="1:8" s="16" customFormat="1" x14ac:dyDescent="0.25">
      <c r="A1705" s="17">
        <v>1695</v>
      </c>
      <c r="B1705" s="17" t="s">
        <v>3109</v>
      </c>
      <c r="C1705" s="17" t="s">
        <v>3630</v>
      </c>
      <c r="D1705" s="18">
        <v>1</v>
      </c>
      <c r="E1705" s="18">
        <v>2.99</v>
      </c>
      <c r="F1705" s="18">
        <v>3.59</v>
      </c>
      <c r="G1705" s="20" t="s">
        <v>4728</v>
      </c>
      <c r="H1705" s="19" t="str">
        <f>HYPERLINK("https://elefant.by/catalogue/704306600","Посмотреть на сайте ...")</f>
        <v>Посмотреть на сайте ...</v>
      </c>
    </row>
    <row r="1706" spans="1:8" s="16" customFormat="1" x14ac:dyDescent="0.25">
      <c r="A1706" s="17">
        <v>1696</v>
      </c>
      <c r="B1706" s="17" t="s">
        <v>3109</v>
      </c>
      <c r="C1706" s="17" t="s">
        <v>3631</v>
      </c>
      <c r="D1706" s="18">
        <v>24</v>
      </c>
      <c r="E1706" s="18">
        <v>1.25</v>
      </c>
      <c r="F1706" s="18">
        <v>1.5</v>
      </c>
      <c r="G1706" s="20" t="s">
        <v>4729</v>
      </c>
      <c r="H1706" s="19" t="str">
        <f>HYPERLINK("https://elefant.by/catalogue/699461310","Посмотреть на сайте ...")</f>
        <v>Посмотреть на сайте ...</v>
      </c>
    </row>
    <row r="1707" spans="1:8" s="16" customFormat="1" x14ac:dyDescent="0.25">
      <c r="A1707" s="17">
        <v>1697</v>
      </c>
      <c r="B1707" s="17" t="s">
        <v>3109</v>
      </c>
      <c r="C1707" s="17" t="s">
        <v>3632</v>
      </c>
      <c r="D1707" s="18">
        <v>24</v>
      </c>
      <c r="E1707" s="18">
        <v>1.25</v>
      </c>
      <c r="F1707" s="18">
        <v>1.5</v>
      </c>
      <c r="G1707" s="20" t="s">
        <v>4730</v>
      </c>
      <c r="H1707" s="19" t="str">
        <f>HYPERLINK("https://elefant.by/catalogue/656443389","Посмотреть на сайте ...")</f>
        <v>Посмотреть на сайте ...</v>
      </c>
    </row>
    <row r="1708" spans="1:8" s="16" customFormat="1" x14ac:dyDescent="0.25">
      <c r="A1708" s="17">
        <v>1698</v>
      </c>
      <c r="B1708" s="17" t="s">
        <v>3109</v>
      </c>
      <c r="C1708" s="17" t="s">
        <v>3633</v>
      </c>
      <c r="D1708" s="18">
        <v>24</v>
      </c>
      <c r="E1708" s="18">
        <v>1.34</v>
      </c>
      <c r="F1708" s="18">
        <v>1.61</v>
      </c>
      <c r="G1708" s="20" t="s">
        <v>4731</v>
      </c>
      <c r="H1708" s="19" t="str">
        <f>HYPERLINK("https://elefant.by/catalogue/651855992","Посмотреть на сайте ...")</f>
        <v>Посмотреть на сайте ...</v>
      </c>
    </row>
    <row r="1709" spans="1:8" s="16" customFormat="1" x14ac:dyDescent="0.25">
      <c r="A1709" s="17">
        <v>1699</v>
      </c>
      <c r="B1709" s="17" t="s">
        <v>3109</v>
      </c>
      <c r="C1709" s="17" t="s">
        <v>3634</v>
      </c>
      <c r="D1709" s="18">
        <v>1</v>
      </c>
      <c r="E1709" s="18">
        <v>2.99</v>
      </c>
      <c r="F1709" s="18">
        <v>3.59</v>
      </c>
      <c r="G1709" s="20" t="s">
        <v>4732</v>
      </c>
      <c r="H1709" s="19" t="str">
        <f>HYPERLINK("https://elefant.by/catalogue/704306599","Посмотреть на сайте ...")</f>
        <v>Посмотреть на сайте ...</v>
      </c>
    </row>
    <row r="1710" spans="1:8" s="16" customFormat="1" x14ac:dyDescent="0.25">
      <c r="A1710" s="17">
        <v>1700</v>
      </c>
      <c r="B1710" s="17" t="s">
        <v>3109</v>
      </c>
      <c r="C1710" s="17" t="s">
        <v>3635</v>
      </c>
      <c r="D1710" s="18">
        <v>24</v>
      </c>
      <c r="E1710" s="18">
        <v>1.25</v>
      </c>
      <c r="F1710" s="18">
        <v>1.5</v>
      </c>
      <c r="G1710" s="20" t="s">
        <v>4733</v>
      </c>
      <c r="H1710" s="19" t="str">
        <f>HYPERLINK("https://elefant.by/catalogue/651855978","Посмотреть на сайте ...")</f>
        <v>Посмотреть на сайте ...</v>
      </c>
    </row>
    <row r="1711" spans="1:8" s="16" customFormat="1" x14ac:dyDescent="0.25">
      <c r="A1711" s="17">
        <v>1701</v>
      </c>
      <c r="B1711" s="17" t="s">
        <v>3109</v>
      </c>
      <c r="C1711" s="17" t="s">
        <v>3636</v>
      </c>
      <c r="D1711" s="18">
        <v>24</v>
      </c>
      <c r="E1711" s="18">
        <v>1.25</v>
      </c>
      <c r="F1711" s="18">
        <v>1.5</v>
      </c>
      <c r="G1711" s="20" t="s">
        <v>4734</v>
      </c>
      <c r="H1711" s="19" t="str">
        <f>HYPERLINK("https://elefant.by/catalogue/656443390","Посмотреть на сайте ...")</f>
        <v>Посмотреть на сайте ...</v>
      </c>
    </row>
    <row r="1712" spans="1:8" s="16" customFormat="1" x14ac:dyDescent="0.25">
      <c r="A1712" s="17">
        <v>1702</v>
      </c>
      <c r="B1712" s="17" t="s">
        <v>3109</v>
      </c>
      <c r="C1712" s="17" t="s">
        <v>3637</v>
      </c>
      <c r="D1712" s="18">
        <v>24</v>
      </c>
      <c r="E1712" s="18">
        <v>1.32</v>
      </c>
      <c r="F1712" s="18">
        <v>1.58</v>
      </c>
      <c r="G1712" s="20" t="s">
        <v>4735</v>
      </c>
      <c r="H1712" s="19" t="str">
        <f>HYPERLINK("https://elefant.by/catalogue/656576314","Посмотреть на сайте ...")</f>
        <v>Посмотреть на сайте ...</v>
      </c>
    </row>
    <row r="1713" spans="1:8" s="16" customFormat="1" x14ac:dyDescent="0.25">
      <c r="A1713" s="17">
        <v>1703</v>
      </c>
      <c r="B1713" s="17" t="s">
        <v>3109</v>
      </c>
      <c r="C1713" s="17" t="s">
        <v>3638</v>
      </c>
      <c r="D1713" s="18">
        <v>24</v>
      </c>
      <c r="E1713" s="18">
        <v>1.32</v>
      </c>
      <c r="F1713" s="18">
        <v>1.58</v>
      </c>
      <c r="G1713" s="20" t="s">
        <v>4736</v>
      </c>
      <c r="H1713" s="19" t="str">
        <f>HYPERLINK("https://elefant.by/catalogue/677425848","Посмотреть на сайте ...")</f>
        <v>Посмотреть на сайте ...</v>
      </c>
    </row>
    <row r="1714" spans="1:8" s="16" customFormat="1" x14ac:dyDescent="0.25">
      <c r="A1714" s="17">
        <v>1704</v>
      </c>
      <c r="B1714" s="17" t="s">
        <v>3109</v>
      </c>
      <c r="C1714" s="17" t="s">
        <v>3639</v>
      </c>
      <c r="D1714" s="18">
        <v>24</v>
      </c>
      <c r="E1714" s="18">
        <v>1.42</v>
      </c>
      <c r="F1714" s="18">
        <v>1.7</v>
      </c>
      <c r="G1714" s="20" t="s">
        <v>4737</v>
      </c>
      <c r="H1714" s="19" t="str">
        <f>HYPERLINK("https://elefant.by/catalogue/656576313","Посмотреть на сайте ...")</f>
        <v>Посмотреть на сайте ...</v>
      </c>
    </row>
    <row r="1715" spans="1:8" s="16" customFormat="1" x14ac:dyDescent="0.25">
      <c r="A1715" s="17">
        <v>1705</v>
      </c>
      <c r="B1715" s="17" t="s">
        <v>3109</v>
      </c>
      <c r="C1715" s="17" t="s">
        <v>3640</v>
      </c>
      <c r="D1715" s="18">
        <v>24</v>
      </c>
      <c r="E1715" s="18">
        <v>1.32</v>
      </c>
      <c r="F1715" s="18">
        <v>1.58</v>
      </c>
      <c r="G1715" s="20" t="s">
        <v>4738</v>
      </c>
      <c r="H1715" s="19" t="str">
        <f>HYPERLINK("https://elefant.by/catalogue/656576312","Посмотреть на сайте ...")</f>
        <v>Посмотреть на сайте ...</v>
      </c>
    </row>
    <row r="1716" spans="1:8" s="16" customFormat="1" x14ac:dyDescent="0.25">
      <c r="A1716" s="17">
        <v>1706</v>
      </c>
      <c r="B1716" s="17" t="s">
        <v>3109</v>
      </c>
      <c r="C1716" s="17" t="s">
        <v>3641</v>
      </c>
      <c r="D1716" s="18">
        <v>24</v>
      </c>
      <c r="E1716" s="18">
        <v>1.32</v>
      </c>
      <c r="F1716" s="18">
        <v>1.58</v>
      </c>
      <c r="G1716" s="20" t="s">
        <v>4739</v>
      </c>
      <c r="H1716" s="19" t="str">
        <f>HYPERLINK("https://elefant.by/catalogue/685582581","Посмотреть на сайте ...")</f>
        <v>Посмотреть на сайте ...</v>
      </c>
    </row>
    <row r="1717" spans="1:8" s="16" customFormat="1" x14ac:dyDescent="0.25">
      <c r="A1717" s="17">
        <v>1707</v>
      </c>
      <c r="B1717" s="17" t="s">
        <v>3109</v>
      </c>
      <c r="C1717" s="17" t="s">
        <v>3642</v>
      </c>
      <c r="D1717" s="18">
        <v>24</v>
      </c>
      <c r="E1717" s="18">
        <v>1.42</v>
      </c>
      <c r="F1717" s="18">
        <v>1.7</v>
      </c>
      <c r="G1717" s="20" t="s">
        <v>4740</v>
      </c>
      <c r="H1717" s="19" t="str">
        <f>HYPERLINK("https://elefant.by/catalogue/651855982","Посмотреть на сайте ...")</f>
        <v>Посмотреть на сайте ...</v>
      </c>
    </row>
    <row r="1718" spans="1:8" s="16" customFormat="1" x14ac:dyDescent="0.25">
      <c r="A1718" s="17">
        <v>1708</v>
      </c>
      <c r="B1718" s="17" t="s">
        <v>3109</v>
      </c>
      <c r="C1718" s="17" t="s">
        <v>3643</v>
      </c>
      <c r="D1718" s="18">
        <v>24</v>
      </c>
      <c r="E1718" s="18">
        <v>1.46</v>
      </c>
      <c r="F1718" s="18">
        <v>1.75</v>
      </c>
      <c r="G1718" s="20" t="s">
        <v>4741</v>
      </c>
      <c r="H1718" s="19" t="str">
        <f>HYPERLINK("https://elefant.by/catalogue/704306603","Посмотреть на сайте ...")</f>
        <v>Посмотреть на сайте ...</v>
      </c>
    </row>
    <row r="1719" spans="1:8" s="16" customFormat="1" x14ac:dyDescent="0.25">
      <c r="A1719" s="17">
        <v>1709</v>
      </c>
      <c r="B1719" s="17" t="s">
        <v>3109</v>
      </c>
      <c r="C1719" s="17" t="s">
        <v>3644</v>
      </c>
      <c r="D1719" s="18">
        <v>24</v>
      </c>
      <c r="E1719" s="18">
        <v>1.36</v>
      </c>
      <c r="F1719" s="18">
        <v>1.63</v>
      </c>
      <c r="G1719" s="20" t="s">
        <v>4742</v>
      </c>
      <c r="H1719" s="19" t="str">
        <f>HYPERLINK("https://elefant.by/catalogue/651855983","Посмотреть на сайте ...")</f>
        <v>Посмотреть на сайте ...</v>
      </c>
    </row>
    <row r="1720" spans="1:8" s="16" customFormat="1" x14ac:dyDescent="0.25">
      <c r="A1720" s="17">
        <v>1710</v>
      </c>
      <c r="B1720" s="17" t="s">
        <v>12</v>
      </c>
      <c r="C1720" s="17" t="s">
        <v>3678</v>
      </c>
      <c r="D1720" s="18">
        <v>9</v>
      </c>
      <c r="E1720" s="18">
        <v>1.42</v>
      </c>
      <c r="F1720" s="18">
        <v>1.7</v>
      </c>
      <c r="G1720" s="20" t="s">
        <v>4746</v>
      </c>
      <c r="H1720" s="19" t="str">
        <f>HYPERLINK("https://elefant.by/catalogue/683097976","Посмотреть на сайте ...")</f>
        <v>Посмотреть на сайте ...</v>
      </c>
    </row>
    <row r="1721" spans="1:8" s="16" customFormat="1" x14ac:dyDescent="0.25">
      <c r="A1721" s="17">
        <v>1711</v>
      </c>
      <c r="B1721" s="17" t="s">
        <v>12</v>
      </c>
      <c r="C1721" s="17" t="s">
        <v>2035</v>
      </c>
      <c r="D1721" s="18">
        <v>12</v>
      </c>
      <c r="E1721" s="18">
        <v>0.34</v>
      </c>
      <c r="F1721" s="18">
        <v>0.41</v>
      </c>
      <c r="G1721" s="20" t="s">
        <v>2036</v>
      </c>
      <c r="H1721" s="19" t="str">
        <f>HYPERLINK("https://elefant.by/catalogue/573407043","Посмотреть на сайте ...")</f>
        <v>Посмотреть на сайте ...</v>
      </c>
    </row>
    <row r="1722" spans="1:8" s="16" customFormat="1" x14ac:dyDescent="0.25">
      <c r="A1722" s="17">
        <v>1712</v>
      </c>
      <c r="B1722" s="17" t="s">
        <v>12</v>
      </c>
      <c r="C1722" s="17" t="s">
        <v>3679</v>
      </c>
      <c r="D1722" s="18">
        <v>36</v>
      </c>
      <c r="E1722" s="18">
        <v>1.19</v>
      </c>
      <c r="F1722" s="18">
        <v>1.43</v>
      </c>
      <c r="G1722" s="20" t="s">
        <v>4747</v>
      </c>
      <c r="H1722" s="19" t="str">
        <f>HYPERLINK("https://elefant.by/catalogue/683098015","Посмотреть на сайте ...")</f>
        <v>Посмотреть на сайте ...</v>
      </c>
    </row>
    <row r="1723" spans="1:8" s="16" customFormat="1" x14ac:dyDescent="0.25">
      <c r="A1723" s="17">
        <v>1713</v>
      </c>
      <c r="B1723" s="17" t="s">
        <v>12</v>
      </c>
      <c r="C1723" s="17" t="s">
        <v>3680</v>
      </c>
      <c r="D1723" s="18">
        <v>36</v>
      </c>
      <c r="E1723" s="18">
        <v>1.22</v>
      </c>
      <c r="F1723" s="18">
        <v>1.46</v>
      </c>
      <c r="G1723" s="20" t="s">
        <v>4748</v>
      </c>
      <c r="H1723" s="19" t="str">
        <f>HYPERLINK("https://elefant.by/catalogue/688626398","Посмотреть на сайте ...")</f>
        <v>Посмотреть на сайте ...</v>
      </c>
    </row>
    <row r="1724" spans="1:8" s="16" customFormat="1" x14ac:dyDescent="0.25">
      <c r="A1724" s="17">
        <v>1714</v>
      </c>
      <c r="B1724" s="17" t="s">
        <v>12</v>
      </c>
      <c r="C1724" s="17" t="s">
        <v>3681</v>
      </c>
      <c r="D1724" s="18">
        <v>36</v>
      </c>
      <c r="E1724" s="18">
        <v>1.1000000000000001</v>
      </c>
      <c r="F1724" s="18">
        <v>1.32</v>
      </c>
      <c r="G1724" s="20" t="s">
        <v>4749</v>
      </c>
      <c r="H1724" s="19" t="str">
        <f>HYPERLINK("https://elefant.by/catalogue/656145286","Посмотреть на сайте ...")</f>
        <v>Посмотреть на сайте ...</v>
      </c>
    </row>
    <row r="1725" spans="1:8" s="16" customFormat="1" x14ac:dyDescent="0.25">
      <c r="A1725" s="17">
        <v>1715</v>
      </c>
      <c r="B1725" s="17" t="s">
        <v>12</v>
      </c>
      <c r="C1725" s="17" t="s">
        <v>2051</v>
      </c>
      <c r="D1725" s="18">
        <v>36</v>
      </c>
      <c r="E1725" s="18">
        <v>1.04</v>
      </c>
      <c r="F1725" s="18">
        <v>1.25</v>
      </c>
      <c r="G1725" s="20" t="s">
        <v>2052</v>
      </c>
      <c r="H1725" s="19" t="str">
        <f>HYPERLINK("https://elefant.by/catalogue/573407051","Посмотреть на сайте ...")</f>
        <v>Посмотреть на сайте ...</v>
      </c>
    </row>
    <row r="1726" spans="1:8" s="16" customFormat="1" x14ac:dyDescent="0.25">
      <c r="A1726" s="17">
        <v>1716</v>
      </c>
      <c r="B1726" s="17" t="s">
        <v>12</v>
      </c>
      <c r="C1726" s="17" t="s">
        <v>2053</v>
      </c>
      <c r="D1726" s="18">
        <v>12</v>
      </c>
      <c r="E1726" s="18">
        <v>0.36</v>
      </c>
      <c r="F1726" s="18">
        <v>0.43</v>
      </c>
      <c r="G1726" s="20" t="s">
        <v>2054</v>
      </c>
      <c r="H1726" s="19" t="str">
        <f>HYPERLINK("https://elefant.by/catalogue/466571152","Посмотреть на сайте ...")</f>
        <v>Посмотреть на сайте ...</v>
      </c>
    </row>
    <row r="1727" spans="1:8" s="16" customFormat="1" x14ac:dyDescent="0.25">
      <c r="A1727" s="17">
        <v>1717</v>
      </c>
      <c r="B1727" s="17" t="s">
        <v>12</v>
      </c>
      <c r="C1727" s="17" t="s">
        <v>2055</v>
      </c>
      <c r="D1727" s="18">
        <v>24</v>
      </c>
      <c r="E1727" s="18">
        <v>1.28</v>
      </c>
      <c r="F1727" s="18">
        <v>1.54</v>
      </c>
      <c r="G1727" s="20" t="s">
        <v>2056</v>
      </c>
      <c r="H1727" s="19" t="str">
        <f>HYPERLINK("https://elefant.by/catalogue/550433200","Посмотреть на сайте ...")</f>
        <v>Посмотреть на сайте ...</v>
      </c>
    </row>
    <row r="1728" spans="1:8" s="16" customFormat="1" x14ac:dyDescent="0.25">
      <c r="A1728" s="17">
        <v>1718</v>
      </c>
      <c r="B1728" s="17" t="s">
        <v>12</v>
      </c>
      <c r="C1728" s="17" t="s">
        <v>3682</v>
      </c>
      <c r="D1728" s="18">
        <v>36</v>
      </c>
      <c r="E1728" s="18">
        <v>1.1100000000000001</v>
      </c>
      <c r="F1728" s="18">
        <v>1.33</v>
      </c>
      <c r="G1728" s="20" t="s">
        <v>4750</v>
      </c>
      <c r="H1728" s="19" t="str">
        <f>HYPERLINK("https://elefant.by/catalogue/683098014","Посмотреть на сайте ...")</f>
        <v>Посмотреть на сайте ...</v>
      </c>
    </row>
    <row r="1729" spans="1:8" s="16" customFormat="1" x14ac:dyDescent="0.25">
      <c r="A1729" s="17">
        <v>1719</v>
      </c>
      <c r="B1729" s="17" t="s">
        <v>12</v>
      </c>
      <c r="C1729" s="17" t="s">
        <v>3683</v>
      </c>
      <c r="D1729" s="18">
        <v>12</v>
      </c>
      <c r="E1729" s="18">
        <v>0.95</v>
      </c>
      <c r="F1729" s="18">
        <v>1.1399999999999999</v>
      </c>
      <c r="G1729" s="20" t="s">
        <v>4751</v>
      </c>
      <c r="H1729" s="19" t="str">
        <f>HYPERLINK("https://elefant.by/catalogue/656984606","Посмотреть на сайте ...")</f>
        <v>Посмотреть на сайте ...</v>
      </c>
    </row>
    <row r="1730" spans="1:8" s="16" customFormat="1" x14ac:dyDescent="0.25">
      <c r="A1730" s="17">
        <v>1720</v>
      </c>
      <c r="B1730" s="17" t="s">
        <v>12</v>
      </c>
      <c r="C1730" s="17" t="s">
        <v>2037</v>
      </c>
      <c r="D1730" s="18">
        <v>36</v>
      </c>
      <c r="E1730" s="18">
        <v>1</v>
      </c>
      <c r="F1730" s="18">
        <v>1.2</v>
      </c>
      <c r="G1730" s="20" t="s">
        <v>2038</v>
      </c>
      <c r="H1730" s="19" t="str">
        <f>HYPERLINK("https://elefant.by/catalogue/640159746","Посмотреть на сайте ...")</f>
        <v>Посмотреть на сайте ...</v>
      </c>
    </row>
    <row r="1731" spans="1:8" s="16" customFormat="1" x14ac:dyDescent="0.25">
      <c r="A1731" s="17">
        <v>1721</v>
      </c>
      <c r="B1731" s="17" t="s">
        <v>12</v>
      </c>
      <c r="C1731" s="17" t="s">
        <v>3684</v>
      </c>
      <c r="D1731" s="18">
        <v>36</v>
      </c>
      <c r="E1731" s="18">
        <v>1.03</v>
      </c>
      <c r="F1731" s="18">
        <v>1.24</v>
      </c>
      <c r="G1731" s="20" t="s">
        <v>4752</v>
      </c>
      <c r="H1731" s="19" t="str">
        <f>HYPERLINK("https://elefant.by/catalogue/656984605","Посмотреть на сайте ...")</f>
        <v>Посмотреть на сайте ...</v>
      </c>
    </row>
    <row r="1732" spans="1:8" s="16" customFormat="1" x14ac:dyDescent="0.25">
      <c r="A1732" s="17">
        <v>1722</v>
      </c>
      <c r="B1732" s="17" t="s">
        <v>12</v>
      </c>
      <c r="C1732" s="17" t="s">
        <v>2039</v>
      </c>
      <c r="D1732" s="18">
        <v>50</v>
      </c>
      <c r="E1732" s="18">
        <v>0.24</v>
      </c>
      <c r="F1732" s="18">
        <v>0.28999999999999998</v>
      </c>
      <c r="G1732" s="20" t="s">
        <v>2040</v>
      </c>
      <c r="H1732" s="19" t="str">
        <f>HYPERLINK("https://elefant.by/catalogue/525965855","Посмотреть на сайте ...")</f>
        <v>Посмотреть на сайте ...</v>
      </c>
    </row>
    <row r="1733" spans="1:8" s="16" customFormat="1" x14ac:dyDescent="0.25">
      <c r="A1733" s="17">
        <v>1723</v>
      </c>
      <c r="B1733" s="17" t="s">
        <v>12</v>
      </c>
      <c r="C1733" s="17" t="s">
        <v>3685</v>
      </c>
      <c r="D1733" s="18">
        <v>36</v>
      </c>
      <c r="E1733" s="18">
        <v>1.1299999999999999</v>
      </c>
      <c r="F1733" s="18">
        <v>1.36</v>
      </c>
      <c r="G1733" s="20" t="s">
        <v>4753</v>
      </c>
      <c r="H1733" s="19" t="str">
        <f>HYPERLINK("https://elefant.by/catalogue/656145287","Посмотреть на сайте ...")</f>
        <v>Посмотреть на сайте ...</v>
      </c>
    </row>
    <row r="1734" spans="1:8" s="16" customFormat="1" x14ac:dyDescent="0.25">
      <c r="A1734" s="17">
        <v>1724</v>
      </c>
      <c r="B1734" s="17" t="s">
        <v>12</v>
      </c>
      <c r="C1734" s="17" t="s">
        <v>2041</v>
      </c>
      <c r="D1734" s="18">
        <v>50</v>
      </c>
      <c r="E1734" s="18">
        <v>0.42</v>
      </c>
      <c r="F1734" s="18">
        <v>0.5</v>
      </c>
      <c r="G1734" s="20" t="s">
        <v>2042</v>
      </c>
      <c r="H1734" s="19" t="str">
        <f>HYPERLINK("https://elefant.by/catalogue/493707914","Посмотреть на сайте ...")</f>
        <v>Посмотреть на сайте ...</v>
      </c>
    </row>
    <row r="1735" spans="1:8" s="16" customFormat="1" x14ac:dyDescent="0.25">
      <c r="A1735" s="17">
        <v>1725</v>
      </c>
      <c r="B1735" s="17" t="s">
        <v>12</v>
      </c>
      <c r="C1735" s="17" t="s">
        <v>2043</v>
      </c>
      <c r="D1735" s="18">
        <v>12</v>
      </c>
      <c r="E1735" s="18">
        <v>0.2</v>
      </c>
      <c r="F1735" s="18">
        <v>0.24</v>
      </c>
      <c r="G1735" s="20" t="s">
        <v>2044</v>
      </c>
      <c r="H1735" s="19" t="str">
        <f>HYPERLINK("https://elefant.by/catalogue/525965845","Посмотреть на сайте ...")</f>
        <v>Посмотреть на сайте ...</v>
      </c>
    </row>
    <row r="1736" spans="1:8" s="16" customFormat="1" x14ac:dyDescent="0.25">
      <c r="A1736" s="17">
        <v>1726</v>
      </c>
      <c r="B1736" s="17" t="s">
        <v>12</v>
      </c>
      <c r="C1736" s="17" t="s">
        <v>2045</v>
      </c>
      <c r="D1736" s="18">
        <v>12</v>
      </c>
      <c r="E1736" s="18">
        <v>0.2</v>
      </c>
      <c r="F1736" s="18">
        <v>0.24</v>
      </c>
      <c r="G1736" s="20" t="s">
        <v>2046</v>
      </c>
      <c r="H1736" s="19" t="str">
        <f>HYPERLINK("https://elefant.by/catalogue/525965846","Посмотреть на сайте ...")</f>
        <v>Посмотреть на сайте ...</v>
      </c>
    </row>
    <row r="1737" spans="1:8" s="16" customFormat="1" x14ac:dyDescent="0.25">
      <c r="A1737" s="17">
        <v>1727</v>
      </c>
      <c r="B1737" s="17" t="s">
        <v>12</v>
      </c>
      <c r="C1737" s="17" t="s">
        <v>2047</v>
      </c>
      <c r="D1737" s="18">
        <v>24</v>
      </c>
      <c r="E1737" s="18">
        <v>0.22</v>
      </c>
      <c r="F1737" s="18">
        <v>0.26</v>
      </c>
      <c r="G1737" s="20" t="s">
        <v>2048</v>
      </c>
      <c r="H1737" s="19" t="str">
        <f>HYPERLINK("https://elefant.by/catalogue/452522910","Посмотреть на сайте ...")</f>
        <v>Посмотреть на сайте ...</v>
      </c>
    </row>
    <row r="1738" spans="1:8" s="16" customFormat="1" x14ac:dyDescent="0.25">
      <c r="A1738" s="17">
        <v>1728</v>
      </c>
      <c r="B1738" s="17" t="s">
        <v>12</v>
      </c>
      <c r="C1738" s="17" t="s">
        <v>2049</v>
      </c>
      <c r="D1738" s="18">
        <v>50</v>
      </c>
      <c r="E1738" s="18">
        <v>0.25</v>
      </c>
      <c r="F1738" s="18">
        <v>0.3</v>
      </c>
      <c r="G1738" s="20" t="s">
        <v>2050</v>
      </c>
      <c r="H1738" s="19" t="str">
        <f>HYPERLINK("https://elefant.by/catalogue/596509682","Посмотреть на сайте ...")</f>
        <v>Посмотреть на сайте ...</v>
      </c>
    </row>
    <row r="1739" spans="1:8" s="16" customFormat="1" x14ac:dyDescent="0.25">
      <c r="A1739" s="17">
        <v>1729</v>
      </c>
      <c r="B1739" s="17" t="s">
        <v>12</v>
      </c>
      <c r="C1739" s="17" t="s">
        <v>3686</v>
      </c>
      <c r="D1739" s="18">
        <v>36</v>
      </c>
      <c r="E1739" s="18">
        <v>0.82</v>
      </c>
      <c r="F1739" s="18">
        <v>0.98</v>
      </c>
      <c r="G1739" s="20" t="s">
        <v>4754</v>
      </c>
      <c r="H1739" s="19" t="str">
        <f>HYPERLINK("https://elefant.by/catalogue/658621718","Посмотреть на сайте ...")</f>
        <v>Посмотреть на сайте ...</v>
      </c>
    </row>
    <row r="1740" spans="1:8" s="16" customFormat="1" x14ac:dyDescent="0.25">
      <c r="A1740" s="17">
        <v>1730</v>
      </c>
      <c r="B1740" s="17" t="s">
        <v>12</v>
      </c>
      <c r="C1740" s="17" t="s">
        <v>2057</v>
      </c>
      <c r="D1740" s="18">
        <v>36</v>
      </c>
      <c r="E1740" s="18">
        <v>0.89</v>
      </c>
      <c r="F1740" s="18">
        <v>1.07</v>
      </c>
      <c r="G1740" s="20" t="s">
        <v>2058</v>
      </c>
      <c r="H1740" s="19" t="str">
        <f>HYPERLINK("https://elefant.by/catalogue/598951275","Посмотреть на сайте ...")</f>
        <v>Посмотреть на сайте ...</v>
      </c>
    </row>
    <row r="1741" spans="1:8" s="16" customFormat="1" x14ac:dyDescent="0.25">
      <c r="A1741" s="17">
        <v>1731</v>
      </c>
      <c r="B1741" s="17" t="s">
        <v>12</v>
      </c>
      <c r="C1741" s="17" t="s">
        <v>2059</v>
      </c>
      <c r="D1741" s="18">
        <v>36</v>
      </c>
      <c r="E1741" s="18">
        <v>0.93</v>
      </c>
      <c r="F1741" s="18">
        <v>1.1200000000000001</v>
      </c>
      <c r="G1741" s="20" t="s">
        <v>2060</v>
      </c>
      <c r="H1741" s="19" t="str">
        <f>HYPERLINK("https://elefant.by/catalogue/641174829","Посмотреть на сайте ...")</f>
        <v>Посмотреть на сайте ...</v>
      </c>
    </row>
    <row r="1742" spans="1:8" s="16" customFormat="1" x14ac:dyDescent="0.25">
      <c r="A1742" s="17">
        <v>1732</v>
      </c>
      <c r="B1742" s="17" t="s">
        <v>12</v>
      </c>
      <c r="C1742" s="17" t="s">
        <v>3687</v>
      </c>
      <c r="D1742" s="18">
        <v>36</v>
      </c>
      <c r="E1742" s="18">
        <v>1.02</v>
      </c>
      <c r="F1742" s="18">
        <v>1.22</v>
      </c>
      <c r="G1742" s="20" t="s">
        <v>4755</v>
      </c>
      <c r="H1742" s="19" t="str">
        <f>HYPERLINK("https://elefant.by/catalogue/598951274","Посмотреть на сайте ...")</f>
        <v>Посмотреть на сайте ...</v>
      </c>
    </row>
    <row r="1743" spans="1:8" s="16" customFormat="1" x14ac:dyDescent="0.25">
      <c r="A1743" s="17">
        <v>1733</v>
      </c>
      <c r="B1743" s="17" t="s">
        <v>12</v>
      </c>
      <c r="C1743" s="17" t="s">
        <v>2061</v>
      </c>
      <c r="D1743" s="18">
        <v>36</v>
      </c>
      <c r="E1743" s="18">
        <v>1.02</v>
      </c>
      <c r="F1743" s="18">
        <v>1.22</v>
      </c>
      <c r="G1743" s="20" t="s">
        <v>2062</v>
      </c>
      <c r="H1743" s="19" t="str">
        <f>HYPERLINK("https://elefant.by/catalogue/588424869","Посмотреть на сайте ...")</f>
        <v>Посмотреть на сайте ...</v>
      </c>
    </row>
    <row r="1744" spans="1:8" s="16" customFormat="1" x14ac:dyDescent="0.25">
      <c r="A1744" s="17">
        <v>1734</v>
      </c>
      <c r="B1744" s="17" t="s">
        <v>12</v>
      </c>
      <c r="C1744" s="17" t="s">
        <v>3688</v>
      </c>
      <c r="D1744" s="18">
        <v>36</v>
      </c>
      <c r="E1744" s="18">
        <v>1.1599999999999999</v>
      </c>
      <c r="F1744" s="18">
        <v>1.39</v>
      </c>
      <c r="G1744" s="20" t="s">
        <v>4756</v>
      </c>
      <c r="H1744" s="19" t="str">
        <f>HYPERLINK("https://elefant.by/catalogue/688633828","Посмотреть на сайте ...")</f>
        <v>Посмотреть на сайте ...</v>
      </c>
    </row>
    <row r="1745" spans="1:8" s="16" customFormat="1" x14ac:dyDescent="0.25">
      <c r="A1745" s="17">
        <v>1735</v>
      </c>
      <c r="B1745" s="17" t="s">
        <v>12</v>
      </c>
      <c r="C1745" s="17" t="s">
        <v>2063</v>
      </c>
      <c r="D1745" s="18">
        <v>36</v>
      </c>
      <c r="E1745" s="18">
        <v>0.92</v>
      </c>
      <c r="F1745" s="18">
        <v>1.1000000000000001</v>
      </c>
      <c r="G1745" s="20" t="s">
        <v>2064</v>
      </c>
      <c r="H1745" s="19" t="str">
        <f>HYPERLINK("https://elefant.by/catalogue/573407053","Посмотреть на сайте ...")</f>
        <v>Посмотреть на сайте ...</v>
      </c>
    </row>
    <row r="1746" spans="1:8" s="16" customFormat="1" x14ac:dyDescent="0.25">
      <c r="A1746" s="17">
        <v>1736</v>
      </c>
      <c r="B1746" s="17" t="s">
        <v>12</v>
      </c>
      <c r="C1746" s="17" t="s">
        <v>3690</v>
      </c>
      <c r="D1746" s="18">
        <v>24</v>
      </c>
      <c r="E1746" s="18">
        <v>1.46</v>
      </c>
      <c r="F1746" s="18">
        <v>1.75</v>
      </c>
      <c r="G1746" s="20" t="s">
        <v>4758</v>
      </c>
      <c r="H1746" s="19" t="str">
        <f>HYPERLINK("https://elefant.by/catalogue/698797798","Посмотреть на сайте ...")</f>
        <v>Посмотреть на сайте ...</v>
      </c>
    </row>
    <row r="1747" spans="1:8" s="16" customFormat="1" x14ac:dyDescent="0.25">
      <c r="A1747" s="17">
        <v>1737</v>
      </c>
      <c r="B1747" s="17" t="s">
        <v>12</v>
      </c>
      <c r="C1747" s="17" t="s">
        <v>3691</v>
      </c>
      <c r="D1747" s="18">
        <v>24</v>
      </c>
      <c r="E1747" s="18">
        <v>1.46</v>
      </c>
      <c r="F1747" s="18">
        <v>1.75</v>
      </c>
      <c r="G1747" s="20" t="s">
        <v>4759</v>
      </c>
      <c r="H1747" s="19" t="str">
        <f>HYPERLINK("https://elefant.by/catalogue/698797801","Посмотреть на сайте ...")</f>
        <v>Посмотреть на сайте ...</v>
      </c>
    </row>
    <row r="1748" spans="1:8" s="16" customFormat="1" x14ac:dyDescent="0.25">
      <c r="A1748" s="17">
        <v>1738</v>
      </c>
      <c r="B1748" s="17" t="s">
        <v>12</v>
      </c>
      <c r="C1748" s="17" t="s">
        <v>3692</v>
      </c>
      <c r="D1748" s="18">
        <v>24</v>
      </c>
      <c r="E1748" s="18">
        <v>1.46</v>
      </c>
      <c r="F1748" s="18">
        <v>1.75</v>
      </c>
      <c r="G1748" s="20" t="s">
        <v>4760</v>
      </c>
      <c r="H1748" s="19" t="str">
        <f>HYPERLINK("https://elefant.by/catalogue/698797800","Посмотреть на сайте ...")</f>
        <v>Посмотреть на сайте ...</v>
      </c>
    </row>
    <row r="1749" spans="1:8" s="16" customFormat="1" x14ac:dyDescent="0.25">
      <c r="A1749" s="17">
        <v>1739</v>
      </c>
      <c r="B1749" s="17" t="s">
        <v>12</v>
      </c>
      <c r="C1749" s="17" t="s">
        <v>3693</v>
      </c>
      <c r="D1749" s="18">
        <v>24</v>
      </c>
      <c r="E1749" s="18">
        <v>1.46</v>
      </c>
      <c r="F1749" s="18">
        <v>1.75</v>
      </c>
      <c r="G1749" s="20" t="s">
        <v>4761</v>
      </c>
      <c r="H1749" s="19" t="str">
        <f>HYPERLINK("https://elefant.by/catalogue/698797799","Посмотреть на сайте ...")</f>
        <v>Посмотреть на сайте ...</v>
      </c>
    </row>
    <row r="1750" spans="1:8" s="16" customFormat="1" x14ac:dyDescent="0.25">
      <c r="A1750" s="17">
        <v>1740</v>
      </c>
      <c r="B1750" s="17" t="s">
        <v>12</v>
      </c>
      <c r="C1750" s="17" t="s">
        <v>2065</v>
      </c>
      <c r="D1750" s="18">
        <v>36</v>
      </c>
      <c r="E1750" s="18">
        <v>0.85</v>
      </c>
      <c r="F1750" s="18">
        <v>1.02</v>
      </c>
      <c r="G1750" s="20" t="s">
        <v>2066</v>
      </c>
      <c r="H1750" s="19" t="str">
        <f>HYPERLINK("https://elefant.by/catalogue/581381798","Посмотреть на сайте ...")</f>
        <v>Посмотреть на сайте ...</v>
      </c>
    </row>
    <row r="1751" spans="1:8" s="16" customFormat="1" x14ac:dyDescent="0.25">
      <c r="A1751" s="17">
        <v>1741</v>
      </c>
      <c r="B1751" s="17" t="s">
        <v>12</v>
      </c>
      <c r="C1751" s="17" t="s">
        <v>2067</v>
      </c>
      <c r="D1751" s="18">
        <v>36</v>
      </c>
      <c r="E1751" s="18">
        <v>0.83</v>
      </c>
      <c r="F1751" s="18">
        <v>1</v>
      </c>
      <c r="G1751" s="20" t="s">
        <v>2068</v>
      </c>
      <c r="H1751" s="19" t="str">
        <f>HYPERLINK("https://elefant.by/catalogue/581381799","Посмотреть на сайте ...")</f>
        <v>Посмотреть на сайте ...</v>
      </c>
    </row>
    <row r="1752" spans="1:8" s="16" customFormat="1" x14ac:dyDescent="0.25">
      <c r="A1752" s="17">
        <v>1742</v>
      </c>
      <c r="B1752" s="17" t="s">
        <v>12</v>
      </c>
      <c r="C1752" s="17" t="s">
        <v>2071</v>
      </c>
      <c r="D1752" s="18">
        <v>12</v>
      </c>
      <c r="E1752" s="18">
        <v>0.26</v>
      </c>
      <c r="F1752" s="18">
        <v>0.31</v>
      </c>
      <c r="G1752" s="20" t="s">
        <v>2072</v>
      </c>
      <c r="H1752" s="19" t="str">
        <f>HYPERLINK("https://elefant.by/catalogue/451126171","Посмотреть на сайте ...")</f>
        <v>Посмотреть на сайте ...</v>
      </c>
    </row>
    <row r="1753" spans="1:8" s="16" customFormat="1" x14ac:dyDescent="0.25">
      <c r="A1753" s="17">
        <v>1743</v>
      </c>
      <c r="B1753" s="17" t="s">
        <v>12</v>
      </c>
      <c r="C1753" s="17" t="s">
        <v>3689</v>
      </c>
      <c r="D1753" s="18">
        <v>24</v>
      </c>
      <c r="E1753" s="18">
        <v>1.84</v>
      </c>
      <c r="F1753" s="18">
        <v>2.21</v>
      </c>
      <c r="G1753" s="20" t="s">
        <v>4757</v>
      </c>
      <c r="H1753" s="19" t="str">
        <f>HYPERLINK("https://elefant.by/catalogue/688633826","Посмотреть на сайте ...")</f>
        <v>Посмотреть на сайте ...</v>
      </c>
    </row>
    <row r="1754" spans="1:8" s="16" customFormat="1" x14ac:dyDescent="0.25">
      <c r="A1754" s="17">
        <v>1744</v>
      </c>
      <c r="B1754" s="17" t="s">
        <v>12</v>
      </c>
      <c r="C1754" s="17" t="s">
        <v>2069</v>
      </c>
      <c r="D1754" s="18">
        <v>36</v>
      </c>
      <c r="E1754" s="18">
        <v>0.8</v>
      </c>
      <c r="F1754" s="18">
        <v>0.96</v>
      </c>
      <c r="G1754" s="20" t="s">
        <v>2070</v>
      </c>
      <c r="H1754" s="19" t="str">
        <f>HYPERLINK("https://elefant.by/catalogue/617947419","Посмотреть на сайте ...")</f>
        <v>Посмотреть на сайте ...</v>
      </c>
    </row>
    <row r="1755" spans="1:8" s="16" customFormat="1" x14ac:dyDescent="0.25">
      <c r="A1755" s="17">
        <v>1745</v>
      </c>
      <c r="B1755" s="17" t="s">
        <v>9</v>
      </c>
      <c r="C1755" s="17" t="s">
        <v>3645</v>
      </c>
      <c r="D1755" s="18">
        <v>60</v>
      </c>
      <c r="E1755" s="18">
        <v>0.43</v>
      </c>
      <c r="F1755" s="18">
        <v>0.52</v>
      </c>
      <c r="G1755" s="20" t="s">
        <v>2005</v>
      </c>
      <c r="H1755" s="19" t="str">
        <f>HYPERLINK("https://elefant.by/catalogue/198566116","Посмотреть на сайте ...")</f>
        <v>Посмотреть на сайте ...</v>
      </c>
    </row>
    <row r="1756" spans="1:8" s="16" customFormat="1" x14ac:dyDescent="0.25">
      <c r="A1756" s="17">
        <v>1746</v>
      </c>
      <c r="B1756" s="17" t="s">
        <v>9</v>
      </c>
      <c r="C1756" s="17" t="s">
        <v>3646</v>
      </c>
      <c r="D1756" s="18">
        <v>12</v>
      </c>
      <c r="E1756" s="18">
        <v>1.1599999999999999</v>
      </c>
      <c r="F1756" s="18">
        <v>1.39</v>
      </c>
      <c r="G1756" s="20" t="s">
        <v>4743</v>
      </c>
      <c r="H1756" s="19" t="str">
        <f>HYPERLINK("https://elefant.by/catalogue/685793768","Посмотреть на сайте ...")</f>
        <v>Посмотреть на сайте ...</v>
      </c>
    </row>
    <row r="1757" spans="1:8" s="16" customFormat="1" x14ac:dyDescent="0.25">
      <c r="A1757" s="17">
        <v>1747</v>
      </c>
      <c r="B1757" s="17" t="s">
        <v>9</v>
      </c>
      <c r="C1757" s="17" t="s">
        <v>3647</v>
      </c>
      <c r="D1757" s="18">
        <v>50</v>
      </c>
      <c r="E1757" s="18">
        <v>0.28000000000000003</v>
      </c>
      <c r="F1757" s="18">
        <v>0.34</v>
      </c>
      <c r="G1757" s="20" t="s">
        <v>2006</v>
      </c>
      <c r="H1757" s="19" t="str">
        <f>HYPERLINK("https://elefant.by/catalogue/198566119","Посмотреть на сайте ...")</f>
        <v>Посмотреть на сайте ...</v>
      </c>
    </row>
    <row r="1758" spans="1:8" s="16" customFormat="1" x14ac:dyDescent="0.25">
      <c r="A1758" s="17">
        <v>1748</v>
      </c>
      <c r="B1758" s="17" t="s">
        <v>9</v>
      </c>
      <c r="C1758" s="17" t="s">
        <v>3648</v>
      </c>
      <c r="D1758" s="18">
        <v>50</v>
      </c>
      <c r="E1758" s="18">
        <v>0.28000000000000003</v>
      </c>
      <c r="F1758" s="18">
        <v>0.34</v>
      </c>
      <c r="G1758" s="20" t="s">
        <v>2007</v>
      </c>
      <c r="H1758" s="19" t="str">
        <f>HYPERLINK("https://elefant.by/catalogue/198566120","Посмотреть на сайте ...")</f>
        <v>Посмотреть на сайте ...</v>
      </c>
    </row>
    <row r="1759" spans="1:8" s="16" customFormat="1" x14ac:dyDescent="0.25">
      <c r="A1759" s="17">
        <v>1749</v>
      </c>
      <c r="B1759" s="17" t="s">
        <v>9</v>
      </c>
      <c r="C1759" s="17" t="s">
        <v>3649</v>
      </c>
      <c r="D1759" s="18">
        <v>50</v>
      </c>
      <c r="E1759" s="18">
        <v>0.28000000000000003</v>
      </c>
      <c r="F1759" s="18">
        <v>0.34</v>
      </c>
      <c r="G1759" s="20" t="s">
        <v>2008</v>
      </c>
      <c r="H1759" s="19" t="str">
        <f>HYPERLINK("https://elefant.by/catalogue/198566117","Посмотреть на сайте ...")</f>
        <v>Посмотреть на сайте ...</v>
      </c>
    </row>
    <row r="1760" spans="1:8" s="16" customFormat="1" x14ac:dyDescent="0.25">
      <c r="A1760" s="17">
        <v>1750</v>
      </c>
      <c r="B1760" s="17" t="s">
        <v>9</v>
      </c>
      <c r="C1760" s="17" t="s">
        <v>3650</v>
      </c>
      <c r="D1760" s="18">
        <v>50</v>
      </c>
      <c r="E1760" s="18">
        <v>0.44</v>
      </c>
      <c r="F1760" s="18">
        <v>0.53</v>
      </c>
      <c r="G1760" s="20" t="s">
        <v>2012</v>
      </c>
      <c r="H1760" s="19" t="str">
        <f>HYPERLINK("https://elefant.by/catalogue/448367110","Посмотреть на сайте ...")</f>
        <v>Посмотреть на сайте ...</v>
      </c>
    </row>
    <row r="1761" spans="1:8" s="16" customFormat="1" x14ac:dyDescent="0.25">
      <c r="A1761" s="17">
        <v>1751</v>
      </c>
      <c r="B1761" s="17" t="s">
        <v>9</v>
      </c>
      <c r="C1761" s="17" t="s">
        <v>3651</v>
      </c>
      <c r="D1761" s="18">
        <v>50</v>
      </c>
      <c r="E1761" s="18">
        <v>0.28999999999999998</v>
      </c>
      <c r="F1761" s="18">
        <v>0.35</v>
      </c>
      <c r="G1761" s="20" t="s">
        <v>2009</v>
      </c>
      <c r="H1761" s="19" t="str">
        <f>HYPERLINK("https://elefant.by/catalogue/580980295","Посмотреть на сайте ...")</f>
        <v>Посмотреть на сайте ...</v>
      </c>
    </row>
    <row r="1762" spans="1:8" s="16" customFormat="1" x14ac:dyDescent="0.25">
      <c r="A1762" s="17">
        <v>1752</v>
      </c>
      <c r="B1762" s="17" t="s">
        <v>9</v>
      </c>
      <c r="C1762" s="17" t="s">
        <v>3652</v>
      </c>
      <c r="D1762" s="18">
        <v>50</v>
      </c>
      <c r="E1762" s="18">
        <v>0.28999999999999998</v>
      </c>
      <c r="F1762" s="18">
        <v>0.35</v>
      </c>
      <c r="G1762" s="20" t="s">
        <v>2010</v>
      </c>
      <c r="H1762" s="19" t="str">
        <f>HYPERLINK("https://elefant.by/catalogue/586103713","Посмотреть на сайте ...")</f>
        <v>Посмотреть на сайте ...</v>
      </c>
    </row>
    <row r="1763" spans="1:8" s="16" customFormat="1" x14ac:dyDescent="0.25">
      <c r="A1763" s="17">
        <v>1753</v>
      </c>
      <c r="B1763" s="17" t="s">
        <v>9</v>
      </c>
      <c r="C1763" s="17" t="s">
        <v>3653</v>
      </c>
      <c r="D1763" s="18">
        <v>50</v>
      </c>
      <c r="E1763" s="18">
        <v>0.46</v>
      </c>
      <c r="F1763" s="18">
        <v>0.55000000000000004</v>
      </c>
      <c r="G1763" s="20" t="s">
        <v>2013</v>
      </c>
      <c r="H1763" s="19" t="str">
        <f>HYPERLINK("https://elefant.by/catalogue/526398746","Посмотреть на сайте ...")</f>
        <v>Посмотреть на сайте ...</v>
      </c>
    </row>
    <row r="1764" spans="1:8" s="16" customFormat="1" x14ac:dyDescent="0.25">
      <c r="A1764" s="17">
        <v>1754</v>
      </c>
      <c r="B1764" s="17" t="s">
        <v>9</v>
      </c>
      <c r="C1764" s="17" t="s">
        <v>3654</v>
      </c>
      <c r="D1764" s="18">
        <v>50</v>
      </c>
      <c r="E1764" s="18">
        <v>0.43</v>
      </c>
      <c r="F1764" s="18">
        <v>0.52</v>
      </c>
      <c r="G1764" s="20" t="s">
        <v>4744</v>
      </c>
      <c r="H1764" s="19" t="str">
        <f>HYPERLINK("https://elefant.by/catalogue/448367111","Посмотреть на сайте ...")</f>
        <v>Посмотреть на сайте ...</v>
      </c>
    </row>
    <row r="1765" spans="1:8" s="16" customFormat="1" x14ac:dyDescent="0.25">
      <c r="A1765" s="17">
        <v>1755</v>
      </c>
      <c r="B1765" s="17" t="s">
        <v>9</v>
      </c>
      <c r="C1765" s="17" t="s">
        <v>3655</v>
      </c>
      <c r="D1765" s="18">
        <v>50</v>
      </c>
      <c r="E1765" s="18">
        <v>0.28999999999999998</v>
      </c>
      <c r="F1765" s="18">
        <v>0.35</v>
      </c>
      <c r="G1765" s="20" t="s">
        <v>2014</v>
      </c>
      <c r="H1765" s="19" t="str">
        <f>HYPERLINK("https://elefant.by/catalogue/583625698","Посмотреть на сайте ...")</f>
        <v>Посмотреть на сайте ...</v>
      </c>
    </row>
    <row r="1766" spans="1:8" s="16" customFormat="1" x14ac:dyDescent="0.25">
      <c r="A1766" s="17">
        <v>1756</v>
      </c>
      <c r="B1766" s="17" t="s">
        <v>9</v>
      </c>
      <c r="C1766" s="17" t="s">
        <v>3656</v>
      </c>
      <c r="D1766" s="18">
        <v>50</v>
      </c>
      <c r="E1766" s="18">
        <v>0.28999999999999998</v>
      </c>
      <c r="F1766" s="18">
        <v>0.35</v>
      </c>
      <c r="G1766" s="20" t="s">
        <v>2015</v>
      </c>
      <c r="H1766" s="19" t="str">
        <f>HYPERLINK("https://elefant.by/catalogue/583625699","Посмотреть на сайте ...")</f>
        <v>Посмотреть на сайте ...</v>
      </c>
    </row>
    <row r="1767" spans="1:8" s="16" customFormat="1" x14ac:dyDescent="0.25">
      <c r="A1767" s="17">
        <v>1757</v>
      </c>
      <c r="B1767" s="17" t="s">
        <v>9</v>
      </c>
      <c r="C1767" s="17" t="s">
        <v>3657</v>
      </c>
      <c r="D1767" s="18">
        <v>50</v>
      </c>
      <c r="E1767" s="18">
        <v>0.28999999999999998</v>
      </c>
      <c r="F1767" s="18">
        <v>0.35</v>
      </c>
      <c r="G1767" s="20" t="s">
        <v>2016</v>
      </c>
      <c r="H1767" s="19" t="str">
        <f>HYPERLINK("https://elefant.by/catalogue/580980296","Посмотреть на сайте ...")</f>
        <v>Посмотреть на сайте ...</v>
      </c>
    </row>
    <row r="1768" spans="1:8" s="16" customFormat="1" x14ac:dyDescent="0.25">
      <c r="A1768" s="17">
        <v>1758</v>
      </c>
      <c r="B1768" s="17" t="s">
        <v>9</v>
      </c>
      <c r="C1768" s="17" t="s">
        <v>3658</v>
      </c>
      <c r="D1768" s="18">
        <v>50</v>
      </c>
      <c r="E1768" s="18">
        <v>0.28999999999999998</v>
      </c>
      <c r="F1768" s="18">
        <v>0.35</v>
      </c>
      <c r="G1768" s="20" t="s">
        <v>2017</v>
      </c>
      <c r="H1768" s="19" t="str">
        <f>HYPERLINK("https://elefant.by/catalogue/583625700","Посмотреть на сайте ...")</f>
        <v>Посмотреть на сайте ...</v>
      </c>
    </row>
    <row r="1769" spans="1:8" s="16" customFormat="1" x14ac:dyDescent="0.25">
      <c r="A1769" s="17">
        <v>1759</v>
      </c>
      <c r="B1769" s="17" t="s">
        <v>9</v>
      </c>
      <c r="C1769" s="17" t="s">
        <v>3659</v>
      </c>
      <c r="D1769" s="18">
        <v>50</v>
      </c>
      <c r="E1769" s="18">
        <v>0.47</v>
      </c>
      <c r="F1769" s="18">
        <v>0.56000000000000005</v>
      </c>
      <c r="G1769" s="20" t="s">
        <v>2011</v>
      </c>
      <c r="H1769" s="19" t="str">
        <f>HYPERLINK("https://elefant.by/catalogue/486294192","Посмотреть на сайте ...")</f>
        <v>Посмотреть на сайте ...</v>
      </c>
    </row>
    <row r="1770" spans="1:8" s="16" customFormat="1" x14ac:dyDescent="0.25">
      <c r="A1770" s="17">
        <v>1760</v>
      </c>
      <c r="B1770" s="17" t="s">
        <v>9</v>
      </c>
      <c r="C1770" s="17" t="s">
        <v>3660</v>
      </c>
      <c r="D1770" s="18">
        <v>50</v>
      </c>
      <c r="E1770" s="18">
        <v>0.32</v>
      </c>
      <c r="F1770" s="18">
        <v>0.38</v>
      </c>
      <c r="G1770" s="20" t="s">
        <v>2018</v>
      </c>
      <c r="H1770" s="19" t="str">
        <f>HYPERLINK("https://elefant.by/catalogue/176449483","Посмотреть на сайте ...")</f>
        <v>Посмотреть на сайте ...</v>
      </c>
    </row>
    <row r="1771" spans="1:8" s="16" customFormat="1" x14ac:dyDescent="0.25">
      <c r="A1771" s="17">
        <v>1761</v>
      </c>
      <c r="B1771" s="17" t="s">
        <v>9</v>
      </c>
      <c r="C1771" s="17" t="s">
        <v>3661</v>
      </c>
      <c r="D1771" s="18">
        <v>50</v>
      </c>
      <c r="E1771" s="18">
        <v>0.46</v>
      </c>
      <c r="F1771" s="18">
        <v>0.55000000000000004</v>
      </c>
      <c r="G1771" s="20" t="s">
        <v>2019</v>
      </c>
      <c r="H1771" s="19" t="str">
        <f>HYPERLINK("https://elefant.by/catalogue/577438413","Посмотреть на сайте ...")</f>
        <v>Посмотреть на сайте ...</v>
      </c>
    </row>
    <row r="1772" spans="1:8" s="16" customFormat="1" x14ac:dyDescent="0.25">
      <c r="A1772" s="17">
        <v>1762</v>
      </c>
      <c r="B1772" s="17" t="s">
        <v>9</v>
      </c>
      <c r="C1772" s="17" t="s">
        <v>3662</v>
      </c>
      <c r="D1772" s="18">
        <v>12</v>
      </c>
      <c r="E1772" s="18">
        <v>0.65</v>
      </c>
      <c r="F1772" s="18">
        <v>0.78</v>
      </c>
      <c r="G1772" s="20" t="s">
        <v>2020</v>
      </c>
      <c r="H1772" s="19" t="str">
        <f>HYPERLINK("https://elefant.by/catalogue/433955443","Посмотреть на сайте ...")</f>
        <v>Посмотреть на сайте ...</v>
      </c>
    </row>
    <row r="1773" spans="1:8" s="16" customFormat="1" x14ac:dyDescent="0.25">
      <c r="A1773" s="17">
        <v>1763</v>
      </c>
      <c r="B1773" s="17" t="s">
        <v>9</v>
      </c>
      <c r="C1773" s="17" t="s">
        <v>3663</v>
      </c>
      <c r="D1773" s="18">
        <v>12</v>
      </c>
      <c r="E1773" s="18">
        <v>0.65</v>
      </c>
      <c r="F1773" s="18">
        <v>0.78</v>
      </c>
      <c r="G1773" s="20" t="s">
        <v>2021</v>
      </c>
      <c r="H1773" s="19" t="str">
        <f>HYPERLINK("https://elefant.by/catalogue/153848212","Посмотреть на сайте ...")</f>
        <v>Посмотреть на сайте ...</v>
      </c>
    </row>
    <row r="1774" spans="1:8" s="16" customFormat="1" x14ac:dyDescent="0.25">
      <c r="A1774" s="17">
        <v>1764</v>
      </c>
      <c r="B1774" s="17" t="s">
        <v>9</v>
      </c>
      <c r="C1774" s="17" t="s">
        <v>3664</v>
      </c>
      <c r="D1774" s="18">
        <v>12</v>
      </c>
      <c r="E1774" s="18">
        <v>0.65</v>
      </c>
      <c r="F1774" s="18">
        <v>0.78</v>
      </c>
      <c r="G1774" s="20" t="s">
        <v>2022</v>
      </c>
      <c r="H1774" s="19" t="str">
        <f>HYPERLINK("https://elefant.by/catalogue/155750347","Посмотреть на сайте ...")</f>
        <v>Посмотреть на сайте ...</v>
      </c>
    </row>
    <row r="1775" spans="1:8" s="16" customFormat="1" x14ac:dyDescent="0.25">
      <c r="A1775" s="17">
        <v>1765</v>
      </c>
      <c r="B1775" s="17" t="s">
        <v>9</v>
      </c>
      <c r="C1775" s="17" t="s">
        <v>3665</v>
      </c>
      <c r="D1775" s="18">
        <v>12</v>
      </c>
      <c r="E1775" s="18">
        <v>0.69</v>
      </c>
      <c r="F1775" s="18">
        <v>0.83</v>
      </c>
      <c r="G1775" s="20" t="s">
        <v>2023</v>
      </c>
      <c r="H1775" s="19" t="str">
        <f>HYPERLINK("https://elefant.by/catalogue/156312818","Посмотреть на сайте ...")</f>
        <v>Посмотреть на сайте ...</v>
      </c>
    </row>
    <row r="1776" spans="1:8" s="16" customFormat="1" x14ac:dyDescent="0.25">
      <c r="A1776" s="17">
        <v>1766</v>
      </c>
      <c r="B1776" s="17" t="s">
        <v>9</v>
      </c>
      <c r="C1776" s="17" t="s">
        <v>3666</v>
      </c>
      <c r="D1776" s="18">
        <v>12</v>
      </c>
      <c r="E1776" s="18">
        <v>0.92</v>
      </c>
      <c r="F1776" s="18">
        <v>1.1000000000000001</v>
      </c>
      <c r="G1776" s="20" t="s">
        <v>2024</v>
      </c>
      <c r="H1776" s="19" t="str">
        <f>HYPERLINK("https://elefant.by/catalogue/154848126","Посмотреть на сайте ...")</f>
        <v>Посмотреть на сайте ...</v>
      </c>
    </row>
    <row r="1777" spans="1:8" s="16" customFormat="1" x14ac:dyDescent="0.25">
      <c r="A1777" s="17">
        <v>1767</v>
      </c>
      <c r="B1777" s="17" t="s">
        <v>9</v>
      </c>
      <c r="C1777" s="17" t="s">
        <v>3667</v>
      </c>
      <c r="D1777" s="18">
        <v>12</v>
      </c>
      <c r="E1777" s="18">
        <v>0.92</v>
      </c>
      <c r="F1777" s="18">
        <v>1.1000000000000001</v>
      </c>
      <c r="G1777" s="20" t="s">
        <v>2025</v>
      </c>
      <c r="H1777" s="19" t="str">
        <f>HYPERLINK("https://elefant.by/catalogue/160260698","Посмотреть на сайте ...")</f>
        <v>Посмотреть на сайте ...</v>
      </c>
    </row>
    <row r="1778" spans="1:8" s="16" customFormat="1" x14ac:dyDescent="0.25">
      <c r="A1778" s="17">
        <v>1768</v>
      </c>
      <c r="B1778" s="17" t="s">
        <v>9</v>
      </c>
      <c r="C1778" s="17" t="s">
        <v>3668</v>
      </c>
      <c r="D1778" s="18">
        <v>10</v>
      </c>
      <c r="E1778" s="18">
        <v>2.12</v>
      </c>
      <c r="F1778" s="18">
        <v>2.54</v>
      </c>
      <c r="G1778" s="20" t="s">
        <v>2026</v>
      </c>
      <c r="H1778" s="19" t="str">
        <f>HYPERLINK("https://elefant.by/catalogue/486310932","Посмотреть на сайте ...")</f>
        <v>Посмотреть на сайте ...</v>
      </c>
    </row>
    <row r="1779" spans="1:8" s="16" customFormat="1" x14ac:dyDescent="0.25">
      <c r="A1779" s="17">
        <v>1769</v>
      </c>
      <c r="B1779" s="17" t="s">
        <v>9</v>
      </c>
      <c r="C1779" s="17" t="s">
        <v>3669</v>
      </c>
      <c r="D1779" s="18">
        <v>50</v>
      </c>
      <c r="E1779" s="18">
        <v>0.53</v>
      </c>
      <c r="F1779" s="18">
        <v>0.64</v>
      </c>
      <c r="G1779" s="20" t="s">
        <v>2027</v>
      </c>
      <c r="H1779" s="19" t="str">
        <f>HYPERLINK("https://elefant.by/catalogue/374387176","Посмотреть на сайте ...")</f>
        <v>Посмотреть на сайте ...</v>
      </c>
    </row>
    <row r="1780" spans="1:8" s="16" customFormat="1" x14ac:dyDescent="0.25">
      <c r="A1780" s="17">
        <v>1770</v>
      </c>
      <c r="B1780" s="17" t="s">
        <v>9</v>
      </c>
      <c r="C1780" s="17" t="s">
        <v>3670</v>
      </c>
      <c r="D1780" s="18">
        <v>50</v>
      </c>
      <c r="E1780" s="18">
        <v>0.53</v>
      </c>
      <c r="F1780" s="18">
        <v>0.64</v>
      </c>
      <c r="G1780" s="20" t="s">
        <v>2028</v>
      </c>
      <c r="H1780" s="19" t="str">
        <f>HYPERLINK("https://elefant.by/catalogue/374387178","Посмотреть на сайте ...")</f>
        <v>Посмотреть на сайте ...</v>
      </c>
    </row>
    <row r="1781" spans="1:8" s="16" customFormat="1" x14ac:dyDescent="0.25">
      <c r="A1781" s="17">
        <v>1771</v>
      </c>
      <c r="B1781" s="17" t="s">
        <v>9</v>
      </c>
      <c r="C1781" s="17" t="s">
        <v>3671</v>
      </c>
      <c r="D1781" s="18">
        <v>50</v>
      </c>
      <c r="E1781" s="18">
        <v>0.53</v>
      </c>
      <c r="F1781" s="18">
        <v>0.64</v>
      </c>
      <c r="G1781" s="20" t="s">
        <v>2029</v>
      </c>
      <c r="H1781" s="19" t="str">
        <f>HYPERLINK("https://elefant.by/catalogue/374387177","Посмотреть на сайте ...")</f>
        <v>Посмотреть на сайте ...</v>
      </c>
    </row>
    <row r="1782" spans="1:8" s="16" customFormat="1" x14ac:dyDescent="0.25">
      <c r="A1782" s="17">
        <v>1772</v>
      </c>
      <c r="B1782" s="17" t="s">
        <v>9</v>
      </c>
      <c r="C1782" s="17" t="s">
        <v>3672</v>
      </c>
      <c r="D1782" s="18">
        <v>50</v>
      </c>
      <c r="E1782" s="18">
        <v>0.53</v>
      </c>
      <c r="F1782" s="18">
        <v>0.64</v>
      </c>
      <c r="G1782" s="20" t="s">
        <v>2030</v>
      </c>
      <c r="H1782" s="19" t="str">
        <f>HYPERLINK("https://elefant.by/catalogue/374387175","Посмотреть на сайте ...")</f>
        <v>Посмотреть на сайте ...</v>
      </c>
    </row>
    <row r="1783" spans="1:8" s="16" customFormat="1" x14ac:dyDescent="0.25">
      <c r="A1783" s="17">
        <v>1773</v>
      </c>
      <c r="B1783" s="17" t="s">
        <v>9</v>
      </c>
      <c r="C1783" s="17" t="s">
        <v>3673</v>
      </c>
      <c r="D1783" s="18">
        <v>12</v>
      </c>
      <c r="E1783" s="18">
        <v>0.62</v>
      </c>
      <c r="F1783" s="18">
        <v>0.74</v>
      </c>
      <c r="G1783" s="20" t="s">
        <v>2031</v>
      </c>
      <c r="H1783" s="19" t="str">
        <f>HYPERLINK("https://elefant.by/catalogue/180718797","Посмотреть на сайте ...")</f>
        <v>Посмотреть на сайте ...</v>
      </c>
    </row>
    <row r="1784" spans="1:8" s="16" customFormat="1" x14ac:dyDescent="0.25">
      <c r="A1784" s="17">
        <v>1774</v>
      </c>
      <c r="B1784" s="17" t="s">
        <v>9</v>
      </c>
      <c r="C1784" s="17" t="s">
        <v>3674</v>
      </c>
      <c r="D1784" s="18">
        <v>12</v>
      </c>
      <c r="E1784" s="18">
        <v>0.62</v>
      </c>
      <c r="F1784" s="18">
        <v>0.74</v>
      </c>
      <c r="G1784" s="20" t="s">
        <v>2032</v>
      </c>
      <c r="H1784" s="19" t="str">
        <f>HYPERLINK("https://elefant.by/catalogue/180718795","Посмотреть на сайте ...")</f>
        <v>Посмотреть на сайте ...</v>
      </c>
    </row>
    <row r="1785" spans="1:8" s="16" customFormat="1" x14ac:dyDescent="0.25">
      <c r="A1785" s="17">
        <v>1775</v>
      </c>
      <c r="B1785" s="17" t="s">
        <v>9</v>
      </c>
      <c r="C1785" s="17" t="s">
        <v>3675</v>
      </c>
      <c r="D1785" s="18">
        <v>12</v>
      </c>
      <c r="E1785" s="18">
        <v>0.62</v>
      </c>
      <c r="F1785" s="18">
        <v>0.74</v>
      </c>
      <c r="G1785" s="20" t="s">
        <v>2033</v>
      </c>
      <c r="H1785" s="19" t="str">
        <f>HYPERLINK("https://elefant.by/catalogue/180718798","Посмотреть на сайте ...")</f>
        <v>Посмотреть на сайте ...</v>
      </c>
    </row>
    <row r="1786" spans="1:8" s="16" customFormat="1" x14ac:dyDescent="0.25">
      <c r="A1786" s="17">
        <v>1776</v>
      </c>
      <c r="B1786" s="17" t="s">
        <v>9</v>
      </c>
      <c r="C1786" s="17" t="s">
        <v>3676</v>
      </c>
      <c r="D1786" s="18">
        <v>12</v>
      </c>
      <c r="E1786" s="18">
        <v>0.62</v>
      </c>
      <c r="F1786" s="18">
        <v>0.74</v>
      </c>
      <c r="G1786" s="20" t="s">
        <v>4745</v>
      </c>
      <c r="H1786" s="19" t="str">
        <f>HYPERLINK("https://elefant.by/catalogue/180718796","Посмотреть на сайте ...")</f>
        <v>Посмотреть на сайте ...</v>
      </c>
    </row>
    <row r="1787" spans="1:8" s="16" customFormat="1" x14ac:dyDescent="0.25">
      <c r="A1787" s="17">
        <v>1777</v>
      </c>
      <c r="B1787" s="17" t="s">
        <v>9</v>
      </c>
      <c r="C1787" s="17" t="s">
        <v>3677</v>
      </c>
      <c r="D1787" s="18">
        <v>12</v>
      </c>
      <c r="E1787" s="18">
        <v>0.7</v>
      </c>
      <c r="F1787" s="18">
        <v>0.84</v>
      </c>
      <c r="G1787" s="20" t="s">
        <v>2034</v>
      </c>
      <c r="H1787" s="19" t="str">
        <f>HYPERLINK("https://elefant.by/catalogue/193099687","Посмотреть на сайте ...")</f>
        <v>Посмотреть на сайте ...</v>
      </c>
    </row>
    <row r="1788" spans="1:8" s="16" customFormat="1" x14ac:dyDescent="0.25">
      <c r="A1788" s="17">
        <v>1778</v>
      </c>
      <c r="B1788" s="17" t="s">
        <v>17</v>
      </c>
      <c r="C1788" s="17" t="s">
        <v>2073</v>
      </c>
      <c r="D1788" s="18">
        <v>30</v>
      </c>
      <c r="E1788" s="18">
        <v>0.63</v>
      </c>
      <c r="F1788" s="18">
        <v>0.76</v>
      </c>
      <c r="G1788" s="20" t="s">
        <v>2074</v>
      </c>
      <c r="H1788" s="19" t="str">
        <f>HYPERLINK("https://elefant.by/catalogue/513782448","Посмотреть на сайте ...")</f>
        <v>Посмотреть на сайте ...</v>
      </c>
    </row>
    <row r="1789" spans="1:8" s="16" customFormat="1" x14ac:dyDescent="0.25">
      <c r="A1789" s="17">
        <v>1779</v>
      </c>
      <c r="B1789" s="17" t="s">
        <v>17</v>
      </c>
      <c r="C1789" s="17" t="s">
        <v>2075</v>
      </c>
      <c r="D1789" s="18">
        <v>50</v>
      </c>
      <c r="E1789" s="18">
        <v>1.05</v>
      </c>
      <c r="F1789" s="18">
        <v>1.26</v>
      </c>
      <c r="G1789" s="20" t="s">
        <v>2076</v>
      </c>
      <c r="H1789" s="19" t="str">
        <f>HYPERLINK("https://elefant.by/catalogue/618937619","Посмотреть на сайте ...")</f>
        <v>Посмотреть на сайте ...</v>
      </c>
    </row>
    <row r="1790" spans="1:8" s="16" customFormat="1" x14ac:dyDescent="0.25">
      <c r="A1790" s="17">
        <v>1780</v>
      </c>
      <c r="B1790" s="17" t="s">
        <v>3109</v>
      </c>
      <c r="C1790" s="17" t="s">
        <v>3694</v>
      </c>
      <c r="D1790" s="18">
        <v>24</v>
      </c>
      <c r="E1790" s="18">
        <v>1.36</v>
      </c>
      <c r="F1790" s="18">
        <v>1.63</v>
      </c>
      <c r="G1790" s="20" t="s">
        <v>4762</v>
      </c>
      <c r="H1790" s="19" t="str">
        <f>HYPERLINK("https://elefant.by/catalogue/677425844","Посмотреть на сайте ...")</f>
        <v>Посмотреть на сайте ...</v>
      </c>
    </row>
    <row r="1791" spans="1:8" s="16" customFormat="1" x14ac:dyDescent="0.25">
      <c r="A1791" s="17">
        <v>1781</v>
      </c>
      <c r="B1791" s="17" t="s">
        <v>3109</v>
      </c>
      <c r="C1791" s="17" t="s">
        <v>3695</v>
      </c>
      <c r="D1791" s="18">
        <v>24</v>
      </c>
      <c r="E1791" s="18">
        <v>1.36</v>
      </c>
      <c r="F1791" s="18">
        <v>1.63</v>
      </c>
      <c r="G1791" s="20" t="s">
        <v>4763</v>
      </c>
      <c r="H1791" s="19" t="str">
        <f>HYPERLINK("https://elefant.by/catalogue/677425845","Посмотреть на сайте ...")</f>
        <v>Посмотреть на сайте ...</v>
      </c>
    </row>
    <row r="1792" spans="1:8" s="16" customFormat="1" x14ac:dyDescent="0.25">
      <c r="A1792" s="17">
        <v>1782</v>
      </c>
      <c r="B1792" s="17" t="s">
        <v>3109</v>
      </c>
      <c r="C1792" s="17" t="s">
        <v>3696</v>
      </c>
      <c r="D1792" s="18">
        <v>24</v>
      </c>
      <c r="E1792" s="18">
        <v>1.46</v>
      </c>
      <c r="F1792" s="18">
        <v>1.75</v>
      </c>
      <c r="G1792" s="20" t="s">
        <v>4764</v>
      </c>
      <c r="H1792" s="19" t="str">
        <f>HYPERLINK("https://elefant.by/catalogue/651855972","Посмотреть на сайте ...")</f>
        <v>Посмотреть на сайте ...</v>
      </c>
    </row>
    <row r="1793" spans="1:8" s="16" customFormat="1" x14ac:dyDescent="0.25">
      <c r="A1793" s="17">
        <v>1783</v>
      </c>
      <c r="B1793" s="17" t="s">
        <v>3109</v>
      </c>
      <c r="C1793" s="17" t="s">
        <v>3697</v>
      </c>
      <c r="D1793" s="18">
        <v>24</v>
      </c>
      <c r="E1793" s="18">
        <v>1.36</v>
      </c>
      <c r="F1793" s="18">
        <v>1.63</v>
      </c>
      <c r="G1793" s="20" t="s">
        <v>4765</v>
      </c>
      <c r="H1793" s="19" t="str">
        <f>HYPERLINK("https://elefant.by/catalogue/656576316","Посмотреть на сайте ...")</f>
        <v>Посмотреть на сайте ...</v>
      </c>
    </row>
    <row r="1794" spans="1:8" s="16" customFormat="1" x14ac:dyDescent="0.25">
      <c r="A1794" s="17">
        <v>1784</v>
      </c>
      <c r="B1794" s="17" t="s">
        <v>3109</v>
      </c>
      <c r="C1794" s="17" t="s">
        <v>3698</v>
      </c>
      <c r="D1794" s="18">
        <v>24</v>
      </c>
      <c r="E1794" s="18">
        <v>1.36</v>
      </c>
      <c r="F1794" s="18">
        <v>1.63</v>
      </c>
      <c r="G1794" s="20" t="s">
        <v>4766</v>
      </c>
      <c r="H1794" s="19" t="str">
        <f>HYPERLINK("https://elefant.by/catalogue/682401743","Посмотреть на сайте ...")</f>
        <v>Посмотреть на сайте ...</v>
      </c>
    </row>
    <row r="1795" spans="1:8" s="16" customFormat="1" x14ac:dyDescent="0.25">
      <c r="A1795" s="17">
        <v>1785</v>
      </c>
      <c r="B1795" s="17" t="s">
        <v>3109</v>
      </c>
      <c r="C1795" s="17" t="s">
        <v>3699</v>
      </c>
      <c r="D1795" s="18">
        <v>24</v>
      </c>
      <c r="E1795" s="18">
        <v>1.36</v>
      </c>
      <c r="F1795" s="18">
        <v>1.63</v>
      </c>
      <c r="G1795" s="20" t="s">
        <v>4767</v>
      </c>
      <c r="H1795" s="19" t="str">
        <f>HYPERLINK("https://elefant.by/catalogue/682401744","Посмотреть на сайте ...")</f>
        <v>Посмотреть на сайте ...</v>
      </c>
    </row>
    <row r="1796" spans="1:8" s="16" customFormat="1" x14ac:dyDescent="0.25">
      <c r="A1796" s="17">
        <v>1786</v>
      </c>
      <c r="B1796" s="17" t="s">
        <v>3109</v>
      </c>
      <c r="C1796" s="17" t="s">
        <v>3700</v>
      </c>
      <c r="D1796" s="18">
        <v>24</v>
      </c>
      <c r="E1796" s="18">
        <v>1.46</v>
      </c>
      <c r="F1796" s="18">
        <v>1.75</v>
      </c>
      <c r="G1796" s="20" t="s">
        <v>4768</v>
      </c>
      <c r="H1796" s="19" t="str">
        <f>HYPERLINK("https://elefant.by/catalogue/651855973","Посмотреть на сайте ...")</f>
        <v>Посмотреть на сайте ...</v>
      </c>
    </row>
    <row r="1797" spans="1:8" s="16" customFormat="1" x14ac:dyDescent="0.25">
      <c r="A1797" s="17">
        <v>1787</v>
      </c>
      <c r="B1797" s="17" t="s">
        <v>3109</v>
      </c>
      <c r="C1797" s="17" t="s">
        <v>3701</v>
      </c>
      <c r="D1797" s="18">
        <v>24</v>
      </c>
      <c r="E1797" s="18">
        <v>1.46</v>
      </c>
      <c r="F1797" s="18">
        <v>1.75</v>
      </c>
      <c r="G1797" s="20" t="s">
        <v>4769</v>
      </c>
      <c r="H1797" s="19" t="str">
        <f>HYPERLINK("https://elefant.by/catalogue/651855974","Посмотреть на сайте ...")</f>
        <v>Посмотреть на сайте ...</v>
      </c>
    </row>
    <row r="1798" spans="1:8" s="16" customFormat="1" x14ac:dyDescent="0.25">
      <c r="A1798" s="17">
        <v>1788</v>
      </c>
      <c r="B1798" s="17" t="s">
        <v>3109</v>
      </c>
      <c r="C1798" s="17" t="s">
        <v>3702</v>
      </c>
      <c r="D1798" s="18">
        <v>24</v>
      </c>
      <c r="E1798" s="18">
        <v>1.36</v>
      </c>
      <c r="F1798" s="18">
        <v>1.63</v>
      </c>
      <c r="G1798" s="20" t="s">
        <v>4770</v>
      </c>
      <c r="H1798" s="19" t="str">
        <f>HYPERLINK("https://elefant.by/catalogue/685582583","Посмотреть на сайте ...")</f>
        <v>Посмотреть на сайте ...</v>
      </c>
    </row>
    <row r="1799" spans="1:8" s="16" customFormat="1" x14ac:dyDescent="0.25">
      <c r="A1799" s="17">
        <v>1789</v>
      </c>
      <c r="B1799" s="17" t="s">
        <v>3109</v>
      </c>
      <c r="C1799" s="17" t="s">
        <v>3703</v>
      </c>
      <c r="D1799" s="18">
        <v>24</v>
      </c>
      <c r="E1799" s="18">
        <v>1.46</v>
      </c>
      <c r="F1799" s="18">
        <v>1.75</v>
      </c>
      <c r="G1799" s="20" t="s">
        <v>4771</v>
      </c>
      <c r="H1799" s="19" t="str">
        <f>HYPERLINK("https://elefant.by/catalogue/656443387","Посмотреть на сайте ...")</f>
        <v>Посмотреть на сайте ...</v>
      </c>
    </row>
    <row r="1800" spans="1:8" s="16" customFormat="1" x14ac:dyDescent="0.25">
      <c r="A1800" s="17">
        <v>1790</v>
      </c>
      <c r="B1800" s="17" t="s">
        <v>9</v>
      </c>
      <c r="C1800" s="17" t="s">
        <v>3704</v>
      </c>
      <c r="D1800" s="18">
        <v>12</v>
      </c>
      <c r="E1800" s="18">
        <v>0.99</v>
      </c>
      <c r="F1800" s="18">
        <v>1.19</v>
      </c>
      <c r="G1800" s="20" t="s">
        <v>2077</v>
      </c>
      <c r="H1800" s="19" t="str">
        <f>HYPERLINK("https://elefant.by/catalogue/149993410","Посмотреть на сайте ...")</f>
        <v>Посмотреть на сайте ...</v>
      </c>
    </row>
    <row r="1801" spans="1:8" s="16" customFormat="1" x14ac:dyDescent="0.25">
      <c r="A1801" s="17">
        <v>1791</v>
      </c>
      <c r="B1801" s="17" t="s">
        <v>9</v>
      </c>
      <c r="C1801" s="17" t="s">
        <v>3705</v>
      </c>
      <c r="D1801" s="18">
        <v>50</v>
      </c>
      <c r="E1801" s="18">
        <v>1.21</v>
      </c>
      <c r="F1801" s="18">
        <v>1.45</v>
      </c>
      <c r="G1801" s="20" t="s">
        <v>2078</v>
      </c>
      <c r="H1801" s="19" t="str">
        <f>HYPERLINK("https://elefant.by/catalogue/177783244","Посмотреть на сайте ...")</f>
        <v>Посмотреть на сайте ...</v>
      </c>
    </row>
    <row r="1802" spans="1:8" s="16" customFormat="1" x14ac:dyDescent="0.25">
      <c r="A1802" s="17">
        <v>1792</v>
      </c>
      <c r="B1802" s="17" t="s">
        <v>9</v>
      </c>
      <c r="C1802" s="17" t="s">
        <v>3706</v>
      </c>
      <c r="D1802" s="18">
        <v>12</v>
      </c>
      <c r="E1802" s="18">
        <v>1.44</v>
      </c>
      <c r="F1802" s="18">
        <v>1.73</v>
      </c>
      <c r="G1802" s="20" t="s">
        <v>2079</v>
      </c>
      <c r="H1802" s="19" t="str">
        <f>HYPERLINK("https://elefant.by/catalogue/159602450","Посмотреть на сайте ...")</f>
        <v>Посмотреть на сайте ...</v>
      </c>
    </row>
    <row r="1803" spans="1:8" s="16" customFormat="1" x14ac:dyDescent="0.25">
      <c r="A1803" s="17">
        <v>1793</v>
      </c>
      <c r="B1803" s="17" t="s">
        <v>9</v>
      </c>
      <c r="C1803" s="17" t="s">
        <v>3707</v>
      </c>
      <c r="D1803" s="18">
        <v>12</v>
      </c>
      <c r="E1803" s="18">
        <v>1.44</v>
      </c>
      <c r="F1803" s="18">
        <v>1.73</v>
      </c>
      <c r="G1803" s="20" t="s">
        <v>2080</v>
      </c>
      <c r="H1803" s="19" t="str">
        <f>HYPERLINK("https://elefant.by/catalogue/151107589","Посмотреть на сайте ...")</f>
        <v>Посмотреть на сайте ...</v>
      </c>
    </row>
    <row r="1804" spans="1:8" s="16" customFormat="1" x14ac:dyDescent="0.25">
      <c r="A1804" s="17">
        <v>1794</v>
      </c>
      <c r="B1804" s="17" t="s">
        <v>9</v>
      </c>
      <c r="C1804" s="17" t="s">
        <v>3708</v>
      </c>
      <c r="D1804" s="18">
        <v>50</v>
      </c>
      <c r="E1804" s="18">
        <v>0.61</v>
      </c>
      <c r="F1804" s="18">
        <v>0.73</v>
      </c>
      <c r="G1804" s="20" t="s">
        <v>4772</v>
      </c>
      <c r="H1804" s="19" t="str">
        <f>HYPERLINK("https://elefant.by/catalogue/685793770","Посмотреть на сайте ...")</f>
        <v>Посмотреть на сайте ...</v>
      </c>
    </row>
    <row r="1805" spans="1:8" s="16" customFormat="1" x14ac:dyDescent="0.25">
      <c r="A1805" s="17">
        <v>1795</v>
      </c>
      <c r="B1805" s="17" t="s">
        <v>9</v>
      </c>
      <c r="C1805" s="17" t="s">
        <v>3709</v>
      </c>
      <c r="D1805" s="18">
        <v>60</v>
      </c>
      <c r="E1805" s="18">
        <v>0.49</v>
      </c>
      <c r="F1805" s="18">
        <v>0.59</v>
      </c>
      <c r="G1805" s="20" t="s">
        <v>4773</v>
      </c>
      <c r="H1805" s="19" t="str">
        <f>HYPERLINK("https://elefant.by/catalogue/663827451","Посмотреть на сайте ...")</f>
        <v>Посмотреть на сайте ...</v>
      </c>
    </row>
    <row r="1806" spans="1:8" s="16" customFormat="1" x14ac:dyDescent="0.25">
      <c r="A1806" s="17">
        <v>1796</v>
      </c>
      <c r="B1806" s="17" t="s">
        <v>9</v>
      </c>
      <c r="C1806" s="17" t="s">
        <v>3710</v>
      </c>
      <c r="D1806" s="18">
        <v>50</v>
      </c>
      <c r="E1806" s="18">
        <v>0.5</v>
      </c>
      <c r="F1806" s="18">
        <v>0.6</v>
      </c>
      <c r="G1806" s="20" t="s">
        <v>2081</v>
      </c>
      <c r="H1806" s="19" t="str">
        <f>HYPERLINK("https://elefant.by/catalogue/441146293","Посмотреть на сайте ...")</f>
        <v>Посмотреть на сайте ...</v>
      </c>
    </row>
    <row r="1807" spans="1:8" s="16" customFormat="1" x14ac:dyDescent="0.25">
      <c r="A1807" s="17">
        <v>1797</v>
      </c>
      <c r="B1807" s="17" t="s">
        <v>9</v>
      </c>
      <c r="C1807" s="17" t="s">
        <v>3711</v>
      </c>
      <c r="D1807" s="18">
        <v>12</v>
      </c>
      <c r="E1807" s="18">
        <v>0.88</v>
      </c>
      <c r="F1807" s="18">
        <v>1.06</v>
      </c>
      <c r="G1807" s="20" t="s">
        <v>2082</v>
      </c>
      <c r="H1807" s="19" t="str">
        <f>HYPERLINK("https://elefant.by/catalogue/602898149","Посмотреть на сайте ...")</f>
        <v>Посмотреть на сайте ...</v>
      </c>
    </row>
    <row r="1808" spans="1:8" s="16" customFormat="1" x14ac:dyDescent="0.25">
      <c r="A1808" s="17">
        <v>1798</v>
      </c>
      <c r="B1808" s="17" t="s">
        <v>9</v>
      </c>
      <c r="C1808" s="17" t="s">
        <v>3712</v>
      </c>
      <c r="D1808" s="18">
        <v>12</v>
      </c>
      <c r="E1808" s="18">
        <v>0.82</v>
      </c>
      <c r="F1808" s="18">
        <v>0.98</v>
      </c>
      <c r="G1808" s="20" t="s">
        <v>2087</v>
      </c>
      <c r="H1808" s="19" t="str">
        <f>HYPERLINK("https://elefant.by/catalogue/577624436","Посмотреть на сайте ...")</f>
        <v>Посмотреть на сайте ...</v>
      </c>
    </row>
    <row r="1809" spans="1:8" s="16" customFormat="1" x14ac:dyDescent="0.25">
      <c r="A1809" s="17">
        <v>1799</v>
      </c>
      <c r="B1809" s="17" t="s">
        <v>9</v>
      </c>
      <c r="C1809" s="17" t="s">
        <v>3713</v>
      </c>
      <c r="D1809" s="18">
        <v>12</v>
      </c>
      <c r="E1809" s="18">
        <v>0.73</v>
      </c>
      <c r="F1809" s="18">
        <v>0.88</v>
      </c>
      <c r="G1809" s="20" t="s">
        <v>2088</v>
      </c>
      <c r="H1809" s="19" t="str">
        <f>HYPERLINK("https://elefant.by/catalogue/555429482","Посмотреть на сайте ...")</f>
        <v>Посмотреть на сайте ...</v>
      </c>
    </row>
    <row r="1810" spans="1:8" s="16" customFormat="1" x14ac:dyDescent="0.25">
      <c r="A1810" s="17">
        <v>1800</v>
      </c>
      <c r="B1810" s="17" t="s">
        <v>9</v>
      </c>
      <c r="C1810" s="17" t="s">
        <v>3714</v>
      </c>
      <c r="D1810" s="18">
        <v>12</v>
      </c>
      <c r="E1810" s="18">
        <v>0.73</v>
      </c>
      <c r="F1810" s="18">
        <v>0.88</v>
      </c>
      <c r="G1810" s="20" t="s">
        <v>2089</v>
      </c>
      <c r="H1810" s="19" t="str">
        <f>HYPERLINK("https://elefant.by/catalogue/149993411","Посмотреть на сайте ...")</f>
        <v>Посмотреть на сайте ...</v>
      </c>
    </row>
    <row r="1811" spans="1:8" s="16" customFormat="1" x14ac:dyDescent="0.25">
      <c r="A1811" s="17">
        <v>1801</v>
      </c>
      <c r="B1811" s="17" t="s">
        <v>9</v>
      </c>
      <c r="C1811" s="17" t="s">
        <v>3715</v>
      </c>
      <c r="D1811" s="18">
        <v>50</v>
      </c>
      <c r="E1811" s="18">
        <v>0.91</v>
      </c>
      <c r="F1811" s="18">
        <v>1.0900000000000001</v>
      </c>
      <c r="G1811" s="20" t="s">
        <v>2083</v>
      </c>
      <c r="H1811" s="19" t="str">
        <f>HYPERLINK("https://elefant.by/catalogue/514943362","Посмотреть на сайте ...")</f>
        <v>Посмотреть на сайте ...</v>
      </c>
    </row>
    <row r="1812" spans="1:8" s="16" customFormat="1" x14ac:dyDescent="0.25">
      <c r="A1812" s="17">
        <v>1802</v>
      </c>
      <c r="B1812" s="17" t="s">
        <v>9</v>
      </c>
      <c r="C1812" s="17" t="s">
        <v>3716</v>
      </c>
      <c r="D1812" s="18">
        <v>50</v>
      </c>
      <c r="E1812" s="18">
        <v>0.91</v>
      </c>
      <c r="F1812" s="18">
        <v>1.0900000000000001</v>
      </c>
      <c r="G1812" s="20" t="s">
        <v>2083</v>
      </c>
      <c r="H1812" s="19" t="str">
        <f>HYPERLINK("https://elefant.by/catalogue/685793769","Посмотреть на сайте ...")</f>
        <v>Посмотреть на сайте ...</v>
      </c>
    </row>
    <row r="1813" spans="1:8" s="16" customFormat="1" x14ac:dyDescent="0.25">
      <c r="A1813" s="17">
        <v>1803</v>
      </c>
      <c r="B1813" s="17" t="s">
        <v>9</v>
      </c>
      <c r="C1813" s="17" t="s">
        <v>3717</v>
      </c>
      <c r="D1813" s="18">
        <v>12</v>
      </c>
      <c r="E1813" s="18">
        <v>0.72</v>
      </c>
      <c r="F1813" s="18">
        <v>0.86</v>
      </c>
      <c r="G1813" s="20" t="s">
        <v>2084</v>
      </c>
      <c r="H1813" s="19" t="str">
        <f>HYPERLINK("https://elefant.by/catalogue/194191060","Посмотреть на сайте ...")</f>
        <v>Посмотреть на сайте ...</v>
      </c>
    </row>
    <row r="1814" spans="1:8" s="16" customFormat="1" x14ac:dyDescent="0.25">
      <c r="A1814" s="17">
        <v>1804</v>
      </c>
      <c r="B1814" s="17" t="s">
        <v>9</v>
      </c>
      <c r="C1814" s="17" t="s">
        <v>3718</v>
      </c>
      <c r="D1814" s="18">
        <v>12</v>
      </c>
      <c r="E1814" s="18">
        <v>0.72</v>
      </c>
      <c r="F1814" s="18">
        <v>0.86</v>
      </c>
      <c r="G1814" s="20" t="s">
        <v>2085</v>
      </c>
      <c r="H1814" s="19" t="str">
        <f>HYPERLINK("https://elefant.by/catalogue/194191057","Посмотреть на сайте ...")</f>
        <v>Посмотреть на сайте ...</v>
      </c>
    </row>
    <row r="1815" spans="1:8" s="16" customFormat="1" x14ac:dyDescent="0.25">
      <c r="A1815" s="17">
        <v>1805</v>
      </c>
      <c r="B1815" s="17" t="s">
        <v>9</v>
      </c>
      <c r="C1815" s="17" t="s">
        <v>3719</v>
      </c>
      <c r="D1815" s="18">
        <v>12</v>
      </c>
      <c r="E1815" s="18">
        <v>0.72</v>
      </c>
      <c r="F1815" s="18">
        <v>0.86</v>
      </c>
      <c r="G1815" s="20" t="s">
        <v>2086</v>
      </c>
      <c r="H1815" s="19" t="str">
        <f>HYPERLINK("https://elefant.by/catalogue/194191058","Посмотреть на сайте ...")</f>
        <v>Посмотреть на сайте ...</v>
      </c>
    </row>
    <row r="1816" spans="1:8" s="16" customFormat="1" x14ac:dyDescent="0.25">
      <c r="A1816" s="17">
        <v>1806</v>
      </c>
      <c r="B1816" s="17" t="s">
        <v>9</v>
      </c>
      <c r="C1816" s="17" t="s">
        <v>3720</v>
      </c>
      <c r="D1816" s="18">
        <v>12</v>
      </c>
      <c r="E1816" s="18">
        <v>0.79</v>
      </c>
      <c r="F1816" s="18">
        <v>0.95</v>
      </c>
      <c r="G1816" s="20" t="s">
        <v>4774</v>
      </c>
      <c r="H1816" s="19" t="str">
        <f>HYPERLINK("https://elefant.by/catalogue/194191064","Посмотреть на сайте ...")</f>
        <v>Посмотреть на сайте ...</v>
      </c>
    </row>
    <row r="1817" spans="1:8" s="16" customFormat="1" x14ac:dyDescent="0.25">
      <c r="A1817" s="17">
        <v>1807</v>
      </c>
      <c r="B1817" s="17" t="s">
        <v>63</v>
      </c>
      <c r="C1817" s="17" t="s">
        <v>2090</v>
      </c>
      <c r="D1817" s="18">
        <v>36</v>
      </c>
      <c r="E1817" s="18">
        <v>1.04</v>
      </c>
      <c r="F1817" s="18">
        <v>1.25</v>
      </c>
      <c r="G1817" s="20" t="s">
        <v>2091</v>
      </c>
      <c r="H1817" s="19" t="str">
        <f>HYPERLINK("https://elefant.by/catalogue/505970883","Посмотреть на сайте ...")</f>
        <v>Посмотреть на сайте ...</v>
      </c>
    </row>
    <row r="1818" spans="1:8" s="16" customFormat="1" x14ac:dyDescent="0.25">
      <c r="A1818" s="17">
        <v>1808</v>
      </c>
      <c r="B1818" s="17" t="s">
        <v>12</v>
      </c>
      <c r="C1818" s="17" t="s">
        <v>2092</v>
      </c>
      <c r="D1818" s="18">
        <v>36</v>
      </c>
      <c r="E1818" s="18">
        <v>3.66</v>
      </c>
      <c r="F1818" s="18">
        <v>4.3899999999999997</v>
      </c>
      <c r="G1818" s="20" t="s">
        <v>2093</v>
      </c>
      <c r="H1818" s="19" t="str">
        <f>HYPERLINK("https://elefant.by/catalogue/539802617","Посмотреть на сайте ...")</f>
        <v>Посмотреть на сайте ...</v>
      </c>
    </row>
    <row r="1819" spans="1:8" s="16" customFormat="1" x14ac:dyDescent="0.25">
      <c r="A1819" s="17">
        <v>1809</v>
      </c>
      <c r="B1819" s="17" t="s">
        <v>20</v>
      </c>
      <c r="C1819" s="17" t="s">
        <v>3721</v>
      </c>
      <c r="D1819" s="18">
        <v>12</v>
      </c>
      <c r="E1819" s="18">
        <v>1.1200000000000001</v>
      </c>
      <c r="F1819" s="18">
        <v>1.34</v>
      </c>
      <c r="G1819" s="20" t="s">
        <v>4775</v>
      </c>
      <c r="H1819" s="19" t="str">
        <f>HYPERLINK("https://elefant.by/catalogue/698918614","Посмотреть на сайте ...")</f>
        <v>Посмотреть на сайте ...</v>
      </c>
    </row>
    <row r="1820" spans="1:8" s="16" customFormat="1" x14ac:dyDescent="0.25">
      <c r="A1820" s="17">
        <v>1810</v>
      </c>
      <c r="B1820" s="17" t="s">
        <v>24</v>
      </c>
      <c r="C1820" s="17" t="s">
        <v>2094</v>
      </c>
      <c r="D1820" s="18">
        <v>90</v>
      </c>
      <c r="E1820" s="18">
        <v>0.79</v>
      </c>
      <c r="F1820" s="18">
        <v>0.95</v>
      </c>
      <c r="G1820" s="20" t="s">
        <v>2095</v>
      </c>
      <c r="H1820" s="19" t="str">
        <f>HYPERLINK("https://elefant.by/catalogue/186230874","Посмотреть на сайте ...")</f>
        <v>Посмотреть на сайте ...</v>
      </c>
    </row>
    <row r="1821" spans="1:8" s="16" customFormat="1" x14ac:dyDescent="0.25">
      <c r="A1821" s="17">
        <v>1811</v>
      </c>
      <c r="B1821" s="17" t="s">
        <v>21</v>
      </c>
      <c r="C1821" s="17" t="s">
        <v>2096</v>
      </c>
      <c r="D1821" s="18">
        <v>10</v>
      </c>
      <c r="E1821" s="18">
        <v>1.62</v>
      </c>
      <c r="F1821" s="18">
        <v>1.94</v>
      </c>
      <c r="G1821" s="20" t="s">
        <v>2097</v>
      </c>
      <c r="H1821" s="19" t="str">
        <f>HYPERLINK("https://elefant.by/catalogue/592227132","Посмотреть на сайте ...")</f>
        <v>Посмотреть на сайте ...</v>
      </c>
    </row>
    <row r="1822" spans="1:8" s="16" customFormat="1" x14ac:dyDescent="0.25">
      <c r="A1822" s="17">
        <v>1812</v>
      </c>
      <c r="B1822" s="17" t="s">
        <v>21</v>
      </c>
      <c r="C1822" s="17" t="s">
        <v>2098</v>
      </c>
      <c r="D1822" s="18">
        <v>10</v>
      </c>
      <c r="E1822" s="18">
        <v>1.23</v>
      </c>
      <c r="F1822" s="18">
        <v>1.48</v>
      </c>
      <c r="G1822" s="20" t="s">
        <v>2099</v>
      </c>
      <c r="H1822" s="19" t="str">
        <f>HYPERLINK("https://elefant.by/catalogue/265286507","Посмотреть на сайте ...")</f>
        <v>Посмотреть на сайте ...</v>
      </c>
    </row>
    <row r="1823" spans="1:8" s="16" customFormat="1" x14ac:dyDescent="0.25">
      <c r="A1823" s="17">
        <v>1813</v>
      </c>
      <c r="B1823" s="17" t="s">
        <v>21</v>
      </c>
      <c r="C1823" s="17" t="s">
        <v>2100</v>
      </c>
      <c r="D1823" s="18">
        <v>10</v>
      </c>
      <c r="E1823" s="18">
        <v>0.81</v>
      </c>
      <c r="F1823" s="18">
        <v>0.97</v>
      </c>
      <c r="G1823" s="20" t="s">
        <v>2101</v>
      </c>
      <c r="H1823" s="19" t="str">
        <f>HYPERLINK("https://elefant.by/catalogue/176944150","Посмотреть на сайте ...")</f>
        <v>Посмотреть на сайте ...</v>
      </c>
    </row>
    <row r="1824" spans="1:8" s="16" customFormat="1" x14ac:dyDescent="0.25">
      <c r="A1824" s="17">
        <v>1814</v>
      </c>
      <c r="B1824" s="17" t="s">
        <v>21</v>
      </c>
      <c r="C1824" s="17" t="s">
        <v>2102</v>
      </c>
      <c r="D1824" s="18">
        <v>10</v>
      </c>
      <c r="E1824" s="18">
        <v>0.81</v>
      </c>
      <c r="F1824" s="18">
        <v>0.97</v>
      </c>
      <c r="G1824" s="20" t="s">
        <v>2103</v>
      </c>
      <c r="H1824" s="19" t="str">
        <f>HYPERLINK("https://elefant.by/catalogue/176944151","Посмотреть на сайте ...")</f>
        <v>Посмотреть на сайте ...</v>
      </c>
    </row>
    <row r="1825" spans="1:8" s="16" customFormat="1" x14ac:dyDescent="0.25">
      <c r="A1825" s="17">
        <v>1815</v>
      </c>
      <c r="B1825" s="17" t="s">
        <v>21</v>
      </c>
      <c r="C1825" s="17" t="s">
        <v>2104</v>
      </c>
      <c r="D1825" s="18">
        <v>10</v>
      </c>
      <c r="E1825" s="18">
        <v>0.83</v>
      </c>
      <c r="F1825" s="18">
        <v>1</v>
      </c>
      <c r="G1825" s="20" t="s">
        <v>2105</v>
      </c>
      <c r="H1825" s="19" t="str">
        <f>HYPERLINK("https://elefant.by/catalogue/177633167","Посмотреть на сайте ...")</f>
        <v>Посмотреть на сайте ...</v>
      </c>
    </row>
    <row r="1826" spans="1:8" s="16" customFormat="1" x14ac:dyDescent="0.25">
      <c r="A1826" s="17">
        <v>1816</v>
      </c>
      <c r="B1826" s="17" t="s">
        <v>9</v>
      </c>
      <c r="C1826" s="17" t="s">
        <v>2106</v>
      </c>
      <c r="D1826" s="18">
        <v>12</v>
      </c>
      <c r="E1826" s="18">
        <v>1.83</v>
      </c>
      <c r="F1826" s="18">
        <v>2.2000000000000002</v>
      </c>
      <c r="G1826" s="20" t="s">
        <v>2107</v>
      </c>
      <c r="H1826" s="19" t="str">
        <f>HYPERLINK("https://elefant.by/catalogue/607192905","Посмотреть на сайте ...")</f>
        <v>Посмотреть на сайте ...</v>
      </c>
    </row>
    <row r="1827" spans="1:8" s="16" customFormat="1" x14ac:dyDescent="0.25">
      <c r="A1827" s="17">
        <v>1817</v>
      </c>
      <c r="B1827" s="17" t="s">
        <v>12</v>
      </c>
      <c r="C1827" s="17" t="s">
        <v>2110</v>
      </c>
      <c r="D1827" s="18">
        <v>12</v>
      </c>
      <c r="E1827" s="18">
        <v>0.74</v>
      </c>
      <c r="F1827" s="18">
        <v>0.89</v>
      </c>
      <c r="G1827" s="20" t="s">
        <v>2111</v>
      </c>
      <c r="H1827" s="19" t="str">
        <f>HYPERLINK("https://elefant.by/catalogue/493707913","Посмотреть на сайте ...")</f>
        <v>Посмотреть на сайте ...</v>
      </c>
    </row>
    <row r="1828" spans="1:8" s="16" customFormat="1" x14ac:dyDescent="0.25">
      <c r="A1828" s="17">
        <v>1818</v>
      </c>
      <c r="B1828" s="17" t="s">
        <v>12</v>
      </c>
      <c r="C1828" s="17" t="s">
        <v>2112</v>
      </c>
      <c r="D1828" s="18">
        <v>12</v>
      </c>
      <c r="E1828" s="18">
        <v>1.77</v>
      </c>
      <c r="F1828" s="18">
        <v>2.12</v>
      </c>
      <c r="G1828" s="20" t="s">
        <v>2113</v>
      </c>
      <c r="H1828" s="19" t="str">
        <f>HYPERLINK("https://elefant.by/catalogue/452522911","Посмотреть на сайте ...")</f>
        <v>Посмотреть на сайте ...</v>
      </c>
    </row>
    <row r="1829" spans="1:8" s="16" customFormat="1" x14ac:dyDescent="0.25">
      <c r="A1829" s="17">
        <v>1819</v>
      </c>
      <c r="B1829" s="17" t="s">
        <v>12</v>
      </c>
      <c r="C1829" s="17" t="s">
        <v>2114</v>
      </c>
      <c r="D1829" s="18">
        <v>12</v>
      </c>
      <c r="E1829" s="18">
        <v>2.0099999999999998</v>
      </c>
      <c r="F1829" s="18">
        <v>2.41</v>
      </c>
      <c r="G1829" s="20" t="s">
        <v>2115</v>
      </c>
      <c r="H1829" s="19" t="str">
        <f>HYPERLINK("https://elefant.by/catalogue/452522922","Посмотреть на сайте ...")</f>
        <v>Посмотреть на сайте ...</v>
      </c>
    </row>
    <row r="1830" spans="1:8" s="16" customFormat="1" x14ac:dyDescent="0.25">
      <c r="A1830" s="17">
        <v>1820</v>
      </c>
      <c r="B1830" s="17" t="s">
        <v>12</v>
      </c>
      <c r="C1830" s="17" t="s">
        <v>3723</v>
      </c>
      <c r="D1830" s="18">
        <v>12</v>
      </c>
      <c r="E1830" s="18">
        <v>2.41</v>
      </c>
      <c r="F1830" s="18">
        <v>2.89</v>
      </c>
      <c r="G1830" s="20" t="s">
        <v>4777</v>
      </c>
      <c r="H1830" s="19" t="str">
        <f>HYPERLINK("https://elefant.by/catalogue/452522912","Посмотреть на сайте ...")</f>
        <v>Посмотреть на сайте ...</v>
      </c>
    </row>
    <row r="1831" spans="1:8" s="16" customFormat="1" x14ac:dyDescent="0.25">
      <c r="A1831" s="17">
        <v>1821</v>
      </c>
      <c r="B1831" s="17" t="s">
        <v>12</v>
      </c>
      <c r="C1831" s="17" t="s">
        <v>2116</v>
      </c>
      <c r="D1831" s="18">
        <v>12</v>
      </c>
      <c r="E1831" s="18">
        <v>3.25</v>
      </c>
      <c r="F1831" s="18">
        <v>3.9</v>
      </c>
      <c r="G1831" s="20" t="s">
        <v>2117</v>
      </c>
      <c r="H1831" s="19" t="str">
        <f>HYPERLINK("https://elefant.by/catalogue/452522923","Посмотреть на сайте ...")</f>
        <v>Посмотреть на сайте ...</v>
      </c>
    </row>
    <row r="1832" spans="1:8" s="16" customFormat="1" x14ac:dyDescent="0.25">
      <c r="A1832" s="17">
        <v>1822</v>
      </c>
      <c r="B1832" s="17" t="s">
        <v>12</v>
      </c>
      <c r="C1832" s="17" t="s">
        <v>2118</v>
      </c>
      <c r="D1832" s="18">
        <v>12</v>
      </c>
      <c r="E1832" s="18">
        <v>4.79</v>
      </c>
      <c r="F1832" s="18">
        <v>5.75</v>
      </c>
      <c r="G1832" s="20" t="s">
        <v>2119</v>
      </c>
      <c r="H1832" s="19" t="str">
        <f>HYPERLINK("https://elefant.by/catalogue/452522924","Посмотреть на сайте ...")</f>
        <v>Посмотреть на сайте ...</v>
      </c>
    </row>
    <row r="1833" spans="1:8" s="16" customFormat="1" x14ac:dyDescent="0.25">
      <c r="A1833" s="17">
        <v>1823</v>
      </c>
      <c r="B1833" s="17" t="s">
        <v>12</v>
      </c>
      <c r="C1833" s="17" t="s">
        <v>2120</v>
      </c>
      <c r="D1833" s="18">
        <v>12</v>
      </c>
      <c r="E1833" s="18">
        <v>3.82</v>
      </c>
      <c r="F1833" s="18">
        <v>4.58</v>
      </c>
      <c r="G1833" s="20" t="s">
        <v>2121</v>
      </c>
      <c r="H1833" s="19" t="str">
        <f>HYPERLINK("https://elefant.by/catalogue/452522925","Посмотреть на сайте ...")</f>
        <v>Посмотреть на сайте ...</v>
      </c>
    </row>
    <row r="1834" spans="1:8" s="16" customFormat="1" x14ac:dyDescent="0.25">
      <c r="A1834" s="17">
        <v>1824</v>
      </c>
      <c r="B1834" s="17" t="s">
        <v>9</v>
      </c>
      <c r="C1834" s="17" t="s">
        <v>3724</v>
      </c>
      <c r="D1834" s="18">
        <v>24</v>
      </c>
      <c r="E1834" s="18">
        <v>5.51</v>
      </c>
      <c r="F1834" s="18">
        <v>6.61</v>
      </c>
      <c r="G1834" s="20" t="s">
        <v>4778</v>
      </c>
      <c r="H1834" s="19" t="str">
        <f>HYPERLINK("https://elefant.by/catalogue/648835713","Посмотреть на сайте ...")</f>
        <v>Посмотреть на сайте ...</v>
      </c>
    </row>
    <row r="1835" spans="1:8" s="16" customFormat="1" x14ac:dyDescent="0.25">
      <c r="A1835" s="17">
        <v>1825</v>
      </c>
      <c r="B1835" s="17" t="s">
        <v>12</v>
      </c>
      <c r="C1835" s="17" t="s">
        <v>3725</v>
      </c>
      <c r="D1835" s="18">
        <v>12</v>
      </c>
      <c r="E1835" s="18">
        <v>2.5</v>
      </c>
      <c r="F1835" s="18">
        <v>3</v>
      </c>
      <c r="G1835" s="20" t="s">
        <v>4779</v>
      </c>
      <c r="H1835" s="19" t="str">
        <f>HYPERLINK("https://elefant.by/catalogue/673464666","Посмотреть на сайте ...")</f>
        <v>Посмотреть на сайте ...</v>
      </c>
    </row>
    <row r="1836" spans="1:8" s="16" customFormat="1" x14ac:dyDescent="0.25">
      <c r="A1836" s="17">
        <v>1826</v>
      </c>
      <c r="B1836" s="17" t="s">
        <v>12</v>
      </c>
      <c r="C1836" s="17" t="s">
        <v>3726</v>
      </c>
      <c r="D1836" s="18">
        <v>12</v>
      </c>
      <c r="E1836" s="18">
        <v>4.9400000000000004</v>
      </c>
      <c r="F1836" s="18">
        <v>5.93</v>
      </c>
      <c r="G1836" s="20" t="s">
        <v>4780</v>
      </c>
      <c r="H1836" s="19" t="str">
        <f>HYPERLINK("https://elefant.by/catalogue/680688244","Посмотреть на сайте ...")</f>
        <v>Посмотреть на сайте ...</v>
      </c>
    </row>
    <row r="1837" spans="1:8" s="16" customFormat="1" x14ac:dyDescent="0.25">
      <c r="A1837" s="17">
        <v>1827</v>
      </c>
      <c r="B1837" s="17" t="s">
        <v>21</v>
      </c>
      <c r="C1837" s="17" t="s">
        <v>2108</v>
      </c>
      <c r="D1837" s="18">
        <v>10</v>
      </c>
      <c r="E1837" s="18">
        <v>6.94</v>
      </c>
      <c r="F1837" s="18">
        <v>8.33</v>
      </c>
      <c r="G1837" s="20" t="s">
        <v>2109</v>
      </c>
      <c r="H1837" s="19" t="str">
        <f>HYPERLINK("https://elefant.by/catalogue/265286505","Посмотреть на сайте ...")</f>
        <v>Посмотреть на сайте ...</v>
      </c>
    </row>
    <row r="1838" spans="1:8" s="16" customFormat="1" x14ac:dyDescent="0.25">
      <c r="A1838" s="17">
        <v>1828</v>
      </c>
      <c r="B1838" s="17" t="s">
        <v>21</v>
      </c>
      <c r="C1838" s="17" t="s">
        <v>3722</v>
      </c>
      <c r="D1838" s="18">
        <v>10</v>
      </c>
      <c r="E1838" s="18">
        <v>3.24</v>
      </c>
      <c r="F1838" s="18">
        <v>3.89</v>
      </c>
      <c r="G1838" s="20" t="s">
        <v>4776</v>
      </c>
      <c r="H1838" s="19" t="str">
        <f>HYPERLINK("https://elefant.by/catalogue/674915746","Посмотреть на сайте ...")</f>
        <v>Посмотреть на сайте ...</v>
      </c>
    </row>
    <row r="1839" spans="1:8" s="16" customFormat="1" x14ac:dyDescent="0.25">
      <c r="A1839" s="17">
        <v>1829</v>
      </c>
      <c r="B1839" s="17" t="s">
        <v>12</v>
      </c>
      <c r="C1839" s="17" t="s">
        <v>2122</v>
      </c>
      <c r="D1839" s="18">
        <v>12</v>
      </c>
      <c r="E1839" s="18">
        <v>3.15</v>
      </c>
      <c r="F1839" s="18">
        <v>3.78</v>
      </c>
      <c r="G1839" s="20" t="s">
        <v>2123</v>
      </c>
      <c r="H1839" s="19" t="str">
        <f>HYPERLINK("https://elefant.by/catalogue/450884486","Посмотреть на сайте ...")</f>
        <v>Посмотреть на сайте ...</v>
      </c>
    </row>
    <row r="1840" spans="1:8" s="16" customFormat="1" x14ac:dyDescent="0.25">
      <c r="A1840" s="17">
        <v>1830</v>
      </c>
      <c r="B1840" s="17" t="s">
        <v>66</v>
      </c>
      <c r="C1840" s="17" t="s">
        <v>2124</v>
      </c>
      <c r="D1840" s="18">
        <v>100</v>
      </c>
      <c r="E1840" s="18">
        <v>0.72</v>
      </c>
      <c r="F1840" s="18">
        <v>0.86</v>
      </c>
      <c r="G1840" s="20" t="s">
        <v>2125</v>
      </c>
      <c r="H1840" s="19" t="str">
        <f>HYPERLINK("https://elefant.by/catalogue/148082685","Посмотреть на сайте ...")</f>
        <v>Посмотреть на сайте ...</v>
      </c>
    </row>
    <row r="1841" spans="1:8" s="16" customFormat="1" x14ac:dyDescent="0.25">
      <c r="A1841" s="17">
        <v>1831</v>
      </c>
      <c r="B1841" s="17" t="s">
        <v>66</v>
      </c>
      <c r="C1841" s="17" t="s">
        <v>2126</v>
      </c>
      <c r="D1841" s="18">
        <v>10</v>
      </c>
      <c r="E1841" s="18">
        <v>0.92</v>
      </c>
      <c r="F1841" s="18">
        <v>1.1000000000000001</v>
      </c>
      <c r="G1841" s="20" t="s">
        <v>2127</v>
      </c>
      <c r="H1841" s="19" t="str">
        <f>HYPERLINK("https://elefant.by/catalogue/161451714","Посмотреть на сайте ...")</f>
        <v>Посмотреть на сайте ...</v>
      </c>
    </row>
    <row r="1842" spans="1:8" s="16" customFormat="1" x14ac:dyDescent="0.25">
      <c r="A1842" s="17">
        <v>1832</v>
      </c>
      <c r="B1842" s="17" t="s">
        <v>66</v>
      </c>
      <c r="C1842" s="17" t="s">
        <v>2128</v>
      </c>
      <c r="D1842" s="18">
        <v>70</v>
      </c>
      <c r="E1842" s="18">
        <v>0.74</v>
      </c>
      <c r="F1842" s="18">
        <v>0.89</v>
      </c>
      <c r="G1842" s="20" t="s">
        <v>2129</v>
      </c>
      <c r="H1842" s="19" t="str">
        <f>HYPERLINK("https://elefant.by/catalogue/148082752","Посмотреть на сайте ...")</f>
        <v>Посмотреть на сайте ...</v>
      </c>
    </row>
    <row r="1843" spans="1:8" s="16" customFormat="1" x14ac:dyDescent="0.25">
      <c r="A1843" s="17">
        <v>1833</v>
      </c>
      <c r="B1843" s="17" t="s">
        <v>66</v>
      </c>
      <c r="C1843" s="17" t="s">
        <v>2130</v>
      </c>
      <c r="D1843" s="18">
        <v>120</v>
      </c>
      <c r="E1843" s="18">
        <v>1.26</v>
      </c>
      <c r="F1843" s="18">
        <v>1.51</v>
      </c>
      <c r="G1843" s="20" t="s">
        <v>2131</v>
      </c>
      <c r="H1843" s="19" t="str">
        <f>HYPERLINK("https://elefant.by/catalogue/149254399","Посмотреть на сайте ...")</f>
        <v>Посмотреть на сайте ...</v>
      </c>
    </row>
    <row r="1844" spans="1:8" s="16" customFormat="1" x14ac:dyDescent="0.25">
      <c r="A1844" s="17">
        <v>1834</v>
      </c>
      <c r="B1844" s="17" t="s">
        <v>3109</v>
      </c>
      <c r="C1844" s="17" t="s">
        <v>3727</v>
      </c>
      <c r="D1844" s="18">
        <v>12</v>
      </c>
      <c r="E1844" s="18">
        <v>3.1</v>
      </c>
      <c r="F1844" s="18">
        <v>3.72</v>
      </c>
      <c r="G1844" s="20" t="s">
        <v>4781</v>
      </c>
      <c r="H1844" s="19" t="str">
        <f>HYPERLINK("https://elefant.by/catalogue/704265108","Посмотреть на сайте ...")</f>
        <v>Посмотреть на сайте ...</v>
      </c>
    </row>
    <row r="1845" spans="1:8" s="16" customFormat="1" x14ac:dyDescent="0.25">
      <c r="A1845" s="17">
        <v>1835</v>
      </c>
      <c r="B1845" s="17" t="s">
        <v>3109</v>
      </c>
      <c r="C1845" s="17" t="s">
        <v>3728</v>
      </c>
      <c r="D1845" s="18">
        <v>1</v>
      </c>
      <c r="E1845" s="18">
        <v>4.71</v>
      </c>
      <c r="F1845" s="18">
        <v>5.65</v>
      </c>
      <c r="G1845" s="20" t="s">
        <v>4782</v>
      </c>
      <c r="H1845" s="19" t="str">
        <f>HYPERLINK("https://elefant.by/catalogue/704265114","Посмотреть на сайте ...")</f>
        <v>Посмотреть на сайте ...</v>
      </c>
    </row>
    <row r="1846" spans="1:8" s="16" customFormat="1" x14ac:dyDescent="0.25">
      <c r="A1846" s="17">
        <v>1836</v>
      </c>
      <c r="B1846" s="17" t="s">
        <v>3109</v>
      </c>
      <c r="C1846" s="17" t="s">
        <v>3729</v>
      </c>
      <c r="D1846" s="18">
        <v>1</v>
      </c>
      <c r="E1846" s="18">
        <v>4.71</v>
      </c>
      <c r="F1846" s="18">
        <v>5.65</v>
      </c>
      <c r="G1846" s="20" t="s">
        <v>4783</v>
      </c>
      <c r="H1846" s="19" t="str">
        <f>HYPERLINK("https://elefant.by/catalogue/704265113","Посмотреть на сайте ...")</f>
        <v>Посмотреть на сайте ...</v>
      </c>
    </row>
    <row r="1847" spans="1:8" s="16" customFormat="1" x14ac:dyDescent="0.25">
      <c r="A1847" s="17">
        <v>1837</v>
      </c>
      <c r="B1847" s="17" t="s">
        <v>3109</v>
      </c>
      <c r="C1847" s="17" t="s">
        <v>3730</v>
      </c>
      <c r="D1847" s="18">
        <v>12</v>
      </c>
      <c r="E1847" s="18">
        <v>2.87</v>
      </c>
      <c r="F1847" s="18">
        <v>3.44</v>
      </c>
      <c r="G1847" s="20" t="s">
        <v>4784</v>
      </c>
      <c r="H1847" s="19" t="str">
        <f>HYPERLINK("https://elefant.by/catalogue/704265110","Посмотреть на сайте ...")</f>
        <v>Посмотреть на сайте ...</v>
      </c>
    </row>
    <row r="1848" spans="1:8" s="16" customFormat="1" x14ac:dyDescent="0.25">
      <c r="A1848" s="17">
        <v>1838</v>
      </c>
      <c r="B1848" s="17" t="s">
        <v>3109</v>
      </c>
      <c r="C1848" s="17" t="s">
        <v>3731</v>
      </c>
      <c r="D1848" s="18">
        <v>12</v>
      </c>
      <c r="E1848" s="18">
        <v>3.03</v>
      </c>
      <c r="F1848" s="18">
        <v>3.64</v>
      </c>
      <c r="G1848" s="20" t="s">
        <v>4785</v>
      </c>
      <c r="H1848" s="19" t="str">
        <f>HYPERLINK("https://elefant.by/catalogue/704265109","Посмотреть на сайте ...")</f>
        <v>Посмотреть на сайте ...</v>
      </c>
    </row>
    <row r="1849" spans="1:8" s="16" customFormat="1" x14ac:dyDescent="0.25">
      <c r="A1849" s="17">
        <v>1839</v>
      </c>
      <c r="B1849" s="17" t="s">
        <v>3109</v>
      </c>
      <c r="C1849" s="17" t="s">
        <v>3732</v>
      </c>
      <c r="D1849" s="18">
        <v>12</v>
      </c>
      <c r="E1849" s="18">
        <v>3.03</v>
      </c>
      <c r="F1849" s="18">
        <v>3.64</v>
      </c>
      <c r="G1849" s="20" t="s">
        <v>4786</v>
      </c>
      <c r="H1849" s="19" t="str">
        <f>HYPERLINK("https://elefant.by/catalogue/704265111","Посмотреть на сайте ...")</f>
        <v>Посмотреть на сайте ...</v>
      </c>
    </row>
    <row r="1850" spans="1:8" s="16" customFormat="1" x14ac:dyDescent="0.25">
      <c r="A1850" s="17">
        <v>1840</v>
      </c>
      <c r="B1850" s="17" t="s">
        <v>9</v>
      </c>
      <c r="C1850" s="17" t="s">
        <v>3733</v>
      </c>
      <c r="D1850" s="18">
        <v>12</v>
      </c>
      <c r="E1850" s="18">
        <v>1.35</v>
      </c>
      <c r="F1850" s="18">
        <v>1.62</v>
      </c>
      <c r="G1850" s="20" t="s">
        <v>4787</v>
      </c>
      <c r="H1850" s="19" t="str">
        <f>HYPERLINK("https://elefant.by/catalogue/689156059","Посмотреть на сайте ...")</f>
        <v>Посмотреть на сайте ...</v>
      </c>
    </row>
    <row r="1851" spans="1:8" s="16" customFormat="1" x14ac:dyDescent="0.25">
      <c r="A1851" s="17">
        <v>1841</v>
      </c>
      <c r="B1851" s="17" t="s">
        <v>9</v>
      </c>
      <c r="C1851" s="17" t="s">
        <v>2132</v>
      </c>
      <c r="D1851" s="18">
        <v>24</v>
      </c>
      <c r="E1851" s="18">
        <v>1.29</v>
      </c>
      <c r="F1851" s="18">
        <v>1.55</v>
      </c>
      <c r="G1851" s="20" t="s">
        <v>2133</v>
      </c>
      <c r="H1851" s="19" t="str">
        <f>HYPERLINK("https://elefant.by/catalogue/224158033","Посмотреть на сайте ...")</f>
        <v>Посмотреть на сайте ...</v>
      </c>
    </row>
    <row r="1852" spans="1:8" s="16" customFormat="1" x14ac:dyDescent="0.25">
      <c r="A1852" s="17">
        <v>1842</v>
      </c>
      <c r="B1852" s="17" t="s">
        <v>9</v>
      </c>
      <c r="C1852" s="17" t="s">
        <v>2134</v>
      </c>
      <c r="D1852" s="18">
        <v>24</v>
      </c>
      <c r="E1852" s="18">
        <v>1.29</v>
      </c>
      <c r="F1852" s="18">
        <v>1.55</v>
      </c>
      <c r="G1852" s="20" t="s">
        <v>2135</v>
      </c>
      <c r="H1852" s="19" t="str">
        <f>HYPERLINK("https://elefant.by/catalogue/594518949","Посмотреть на сайте ...")</f>
        <v>Посмотреть на сайте ...</v>
      </c>
    </row>
    <row r="1853" spans="1:8" s="16" customFormat="1" x14ac:dyDescent="0.25">
      <c r="A1853" s="17">
        <v>1843</v>
      </c>
      <c r="B1853" s="17" t="s">
        <v>9</v>
      </c>
      <c r="C1853" s="17" t="s">
        <v>2136</v>
      </c>
      <c r="D1853" s="18">
        <v>24</v>
      </c>
      <c r="E1853" s="18">
        <v>1.37</v>
      </c>
      <c r="F1853" s="18">
        <v>1.64</v>
      </c>
      <c r="G1853" s="20" t="s">
        <v>2137</v>
      </c>
      <c r="H1853" s="19" t="str">
        <f>HYPERLINK("https://elefant.by/catalogue/224158037","Посмотреть на сайте ...")</f>
        <v>Посмотреть на сайте ...</v>
      </c>
    </row>
    <row r="1854" spans="1:8" s="16" customFormat="1" x14ac:dyDescent="0.25">
      <c r="A1854" s="17">
        <v>1844</v>
      </c>
      <c r="B1854" s="17" t="s">
        <v>9</v>
      </c>
      <c r="C1854" s="17" t="s">
        <v>2138</v>
      </c>
      <c r="D1854" s="18">
        <v>24</v>
      </c>
      <c r="E1854" s="18">
        <v>1</v>
      </c>
      <c r="F1854" s="18">
        <v>1.2</v>
      </c>
      <c r="G1854" s="20" t="s">
        <v>2139</v>
      </c>
      <c r="H1854" s="19" t="str">
        <f>HYPERLINK("https://elefant.by/catalogue/510916181","Посмотреть на сайте ...")</f>
        <v>Посмотреть на сайте ...</v>
      </c>
    </row>
    <row r="1855" spans="1:8" s="16" customFormat="1" x14ac:dyDescent="0.25">
      <c r="A1855" s="17">
        <v>1845</v>
      </c>
      <c r="B1855" s="17" t="s">
        <v>9</v>
      </c>
      <c r="C1855" s="17" t="s">
        <v>2140</v>
      </c>
      <c r="D1855" s="18">
        <v>24</v>
      </c>
      <c r="E1855" s="18">
        <v>1.29</v>
      </c>
      <c r="F1855" s="18">
        <v>1.55</v>
      </c>
      <c r="G1855" s="20" t="s">
        <v>2141</v>
      </c>
      <c r="H1855" s="19" t="str">
        <f>HYPERLINK("https://elefant.by/catalogue/587463599","Посмотреть на сайте ...")</f>
        <v>Посмотреть на сайте ...</v>
      </c>
    </row>
    <row r="1856" spans="1:8" s="16" customFormat="1" x14ac:dyDescent="0.25">
      <c r="A1856" s="17">
        <v>1846</v>
      </c>
      <c r="B1856" s="17" t="s">
        <v>9</v>
      </c>
      <c r="C1856" s="17" t="s">
        <v>3734</v>
      </c>
      <c r="D1856" s="18">
        <v>24</v>
      </c>
      <c r="E1856" s="18">
        <v>1.29</v>
      </c>
      <c r="F1856" s="18">
        <v>1.55</v>
      </c>
      <c r="G1856" s="20" t="s">
        <v>4788</v>
      </c>
      <c r="H1856" s="19" t="str">
        <f>HYPERLINK("https://elefant.by/catalogue/229677259","Посмотреть на сайте ...")</f>
        <v>Посмотреть на сайте ...</v>
      </c>
    </row>
    <row r="1857" spans="1:8" s="16" customFormat="1" x14ac:dyDescent="0.25">
      <c r="A1857" s="17">
        <v>1847</v>
      </c>
      <c r="B1857" s="17" t="s">
        <v>9</v>
      </c>
      <c r="C1857" s="17" t="s">
        <v>3735</v>
      </c>
      <c r="D1857" s="18">
        <v>48</v>
      </c>
      <c r="E1857" s="18">
        <v>1.69</v>
      </c>
      <c r="F1857" s="18">
        <v>2.0299999999999998</v>
      </c>
      <c r="G1857" s="20" t="s">
        <v>4789</v>
      </c>
      <c r="H1857" s="19" t="str">
        <f>HYPERLINK("https://elefant.by/catalogue/510916223","Посмотреть на сайте ...")</f>
        <v>Посмотреть на сайте ...</v>
      </c>
    </row>
    <row r="1858" spans="1:8" s="16" customFormat="1" x14ac:dyDescent="0.25">
      <c r="A1858" s="17">
        <v>1848</v>
      </c>
      <c r="B1858" s="17" t="s">
        <v>9</v>
      </c>
      <c r="C1858" s="17" t="s">
        <v>2142</v>
      </c>
      <c r="D1858" s="18">
        <v>48</v>
      </c>
      <c r="E1858" s="18">
        <v>1.74</v>
      </c>
      <c r="F1858" s="18">
        <v>2.09</v>
      </c>
      <c r="G1858" s="20" t="s">
        <v>2143</v>
      </c>
      <c r="H1858" s="19" t="str">
        <f>HYPERLINK("https://elefant.by/catalogue/510916182","Посмотреть на сайте ...")</f>
        <v>Посмотреть на сайте ...</v>
      </c>
    </row>
    <row r="1859" spans="1:8" s="16" customFormat="1" x14ac:dyDescent="0.25">
      <c r="A1859" s="17">
        <v>1849</v>
      </c>
      <c r="B1859" s="17" t="s">
        <v>9</v>
      </c>
      <c r="C1859" s="17" t="s">
        <v>3736</v>
      </c>
      <c r="D1859" s="18">
        <v>48</v>
      </c>
      <c r="E1859" s="18">
        <v>1.69</v>
      </c>
      <c r="F1859" s="18">
        <v>2.0299999999999998</v>
      </c>
      <c r="G1859" s="20" t="s">
        <v>4790</v>
      </c>
      <c r="H1859" s="19" t="str">
        <f>HYPERLINK("https://elefant.by/catalogue/648122744","Посмотреть на сайте ...")</f>
        <v>Посмотреть на сайте ...</v>
      </c>
    </row>
    <row r="1860" spans="1:8" s="16" customFormat="1" x14ac:dyDescent="0.25">
      <c r="A1860" s="17">
        <v>1850</v>
      </c>
      <c r="B1860" s="17" t="s">
        <v>66</v>
      </c>
      <c r="C1860" s="17" t="s">
        <v>1755</v>
      </c>
      <c r="D1860" s="18">
        <v>50</v>
      </c>
      <c r="E1860" s="18">
        <v>0.27</v>
      </c>
      <c r="F1860" s="18">
        <v>0.32</v>
      </c>
      <c r="G1860" s="20" t="s">
        <v>1756</v>
      </c>
      <c r="H1860" s="19" t="str">
        <f>HYPERLINK("https://elefant.by/catalogue/347873218","Посмотреть на сайте ...")</f>
        <v>Посмотреть на сайте ...</v>
      </c>
    </row>
    <row r="1861" spans="1:8" s="16" customFormat="1" x14ac:dyDescent="0.25">
      <c r="A1861" s="17">
        <v>1851</v>
      </c>
      <c r="B1861" s="17" t="s">
        <v>66</v>
      </c>
      <c r="C1861" s="17" t="s">
        <v>1757</v>
      </c>
      <c r="D1861" s="18">
        <v>50</v>
      </c>
      <c r="E1861" s="18">
        <v>0.3</v>
      </c>
      <c r="F1861" s="18">
        <v>0.36</v>
      </c>
      <c r="G1861" s="20" t="s">
        <v>1758</v>
      </c>
      <c r="H1861" s="19" t="str">
        <f>HYPERLINK("https://elefant.by/catalogue/149859194","Посмотреть на сайте ...")</f>
        <v>Посмотреть на сайте ...</v>
      </c>
    </row>
    <row r="1862" spans="1:8" s="16" customFormat="1" x14ac:dyDescent="0.25">
      <c r="A1862" s="17">
        <v>1852</v>
      </c>
      <c r="B1862" s="17" t="s">
        <v>66</v>
      </c>
      <c r="C1862" s="17" t="s">
        <v>1759</v>
      </c>
      <c r="D1862" s="18">
        <v>50</v>
      </c>
      <c r="E1862" s="18">
        <v>0.19</v>
      </c>
      <c r="F1862" s="18">
        <v>0.23</v>
      </c>
      <c r="G1862" s="20" t="s">
        <v>1760</v>
      </c>
      <c r="H1862" s="19" t="str">
        <f>HYPERLINK("https://elefant.by/catalogue/148082090","Посмотреть на сайте ...")</f>
        <v>Посмотреть на сайте ...</v>
      </c>
    </row>
    <row r="1863" spans="1:8" s="16" customFormat="1" x14ac:dyDescent="0.25">
      <c r="A1863" s="17">
        <v>1853</v>
      </c>
      <c r="B1863" s="17" t="s">
        <v>66</v>
      </c>
      <c r="C1863" s="17" t="s">
        <v>1761</v>
      </c>
      <c r="D1863" s="18">
        <v>100</v>
      </c>
      <c r="E1863" s="18">
        <v>0.12</v>
      </c>
      <c r="F1863" s="18">
        <v>0.14000000000000001</v>
      </c>
      <c r="G1863" s="20" t="s">
        <v>1762</v>
      </c>
      <c r="H1863" s="19" t="str">
        <f>HYPERLINK("https://elefant.by/catalogue/371368759","Посмотреть на сайте ...")</f>
        <v>Посмотреть на сайте ...</v>
      </c>
    </row>
    <row r="1864" spans="1:8" s="16" customFormat="1" x14ac:dyDescent="0.25">
      <c r="A1864" s="17">
        <v>1854</v>
      </c>
      <c r="B1864" s="17" t="s">
        <v>158</v>
      </c>
      <c r="C1864" s="17" t="s">
        <v>2144</v>
      </c>
      <c r="D1864" s="18">
        <v>3</v>
      </c>
      <c r="E1864" s="18">
        <v>0.79</v>
      </c>
      <c r="F1864" s="18">
        <v>0.95</v>
      </c>
      <c r="G1864" s="20" t="s">
        <v>2145</v>
      </c>
      <c r="H1864" s="19" t="str">
        <f>HYPERLINK("https://elefant.by/catalogue/526424594","Посмотреть на сайте ...")</f>
        <v>Посмотреть на сайте ...</v>
      </c>
    </row>
    <row r="1865" spans="1:8" s="16" customFormat="1" x14ac:dyDescent="0.25">
      <c r="A1865" s="17">
        <v>1855</v>
      </c>
      <c r="B1865" s="17" t="s">
        <v>158</v>
      </c>
      <c r="C1865" s="17" t="s">
        <v>2146</v>
      </c>
      <c r="D1865" s="18">
        <v>3</v>
      </c>
      <c r="E1865" s="18">
        <v>2.41</v>
      </c>
      <c r="F1865" s="18">
        <v>2.89</v>
      </c>
      <c r="G1865" s="20" t="s">
        <v>2147</v>
      </c>
      <c r="H1865" s="19" t="str">
        <f>HYPERLINK("https://elefant.by/catalogue/552856970","Посмотреть на сайте ...")</f>
        <v>Посмотреть на сайте ...</v>
      </c>
    </row>
    <row r="1866" spans="1:8" s="16" customFormat="1" x14ac:dyDescent="0.25">
      <c r="A1866" s="17">
        <v>1856</v>
      </c>
      <c r="B1866" s="17" t="s">
        <v>158</v>
      </c>
      <c r="C1866" s="17" t="s">
        <v>3737</v>
      </c>
      <c r="D1866" s="18">
        <v>5</v>
      </c>
      <c r="E1866" s="18">
        <v>2.12</v>
      </c>
      <c r="F1866" s="18">
        <v>2.54</v>
      </c>
      <c r="G1866" s="20" t="s">
        <v>4791</v>
      </c>
      <c r="H1866" s="19" t="str">
        <f>HYPERLINK("https://elefant.by/catalogue/654639591","Посмотреть на сайте ...")</f>
        <v>Посмотреть на сайте ...</v>
      </c>
    </row>
    <row r="1867" spans="1:8" s="16" customFormat="1" x14ac:dyDescent="0.25">
      <c r="A1867" s="17">
        <v>1857</v>
      </c>
      <c r="B1867" s="17" t="s">
        <v>158</v>
      </c>
      <c r="C1867" s="17" t="s">
        <v>2148</v>
      </c>
      <c r="D1867" s="18">
        <v>3</v>
      </c>
      <c r="E1867" s="18">
        <v>2.38</v>
      </c>
      <c r="F1867" s="18">
        <v>2.86</v>
      </c>
      <c r="G1867" s="20" t="s">
        <v>2149</v>
      </c>
      <c r="H1867" s="19" t="str">
        <f>HYPERLINK("https://elefant.by/catalogue/587066408","Посмотреть на сайте ...")</f>
        <v>Посмотреть на сайте ...</v>
      </c>
    </row>
    <row r="1868" spans="1:8" s="16" customFormat="1" x14ac:dyDescent="0.25">
      <c r="A1868" s="17">
        <v>1858</v>
      </c>
      <c r="B1868" s="17" t="s">
        <v>158</v>
      </c>
      <c r="C1868" s="17" t="s">
        <v>2150</v>
      </c>
      <c r="D1868" s="18">
        <v>20</v>
      </c>
      <c r="E1868" s="18">
        <v>0.55000000000000004</v>
      </c>
      <c r="F1868" s="18">
        <v>0.66</v>
      </c>
      <c r="G1868" s="20" t="s">
        <v>2151</v>
      </c>
      <c r="H1868" s="19" t="str">
        <f>HYPERLINK("https://elefant.by/catalogue/583304017","Посмотреть на сайте ...")</f>
        <v>Посмотреть на сайте ...</v>
      </c>
    </row>
    <row r="1869" spans="1:8" s="16" customFormat="1" x14ac:dyDescent="0.25">
      <c r="A1869" s="17">
        <v>1859</v>
      </c>
      <c r="B1869" s="17" t="s">
        <v>158</v>
      </c>
      <c r="C1869" s="17" t="s">
        <v>2152</v>
      </c>
      <c r="D1869" s="18">
        <v>10</v>
      </c>
      <c r="E1869" s="18">
        <v>0.2</v>
      </c>
      <c r="F1869" s="18">
        <v>0.24</v>
      </c>
      <c r="G1869" s="20" t="s">
        <v>2153</v>
      </c>
      <c r="H1869" s="19" t="str">
        <f>HYPERLINK("https://elefant.by/catalogue/592182129","Посмотреть на сайте ...")</f>
        <v>Посмотреть на сайте ...</v>
      </c>
    </row>
    <row r="1870" spans="1:8" s="16" customFormat="1" x14ac:dyDescent="0.25">
      <c r="A1870" s="17">
        <v>1860</v>
      </c>
      <c r="B1870" s="17" t="s">
        <v>158</v>
      </c>
      <c r="C1870" s="17" t="s">
        <v>2154</v>
      </c>
      <c r="D1870" s="18">
        <v>1</v>
      </c>
      <c r="E1870" s="18">
        <v>3.44</v>
      </c>
      <c r="F1870" s="18">
        <v>4.13</v>
      </c>
      <c r="G1870" s="20" t="s">
        <v>2155</v>
      </c>
      <c r="H1870" s="19" t="str">
        <f>HYPERLINK("https://elefant.by/catalogue/536867027","Посмотреть на сайте ...")</f>
        <v>Посмотреть на сайте ...</v>
      </c>
    </row>
    <row r="1871" spans="1:8" s="16" customFormat="1" x14ac:dyDescent="0.25">
      <c r="A1871" s="17">
        <v>1861</v>
      </c>
      <c r="B1871" s="17" t="s">
        <v>158</v>
      </c>
      <c r="C1871" s="17" t="s">
        <v>2156</v>
      </c>
      <c r="D1871" s="18">
        <v>20</v>
      </c>
      <c r="E1871" s="18">
        <v>0.36</v>
      </c>
      <c r="F1871" s="18">
        <v>0.43</v>
      </c>
      <c r="G1871" s="20" t="s">
        <v>2157</v>
      </c>
      <c r="H1871" s="19" t="str">
        <f>HYPERLINK("https://elefant.by/catalogue/553419372","Посмотреть на сайте ...")</f>
        <v>Посмотреть на сайте ...</v>
      </c>
    </row>
    <row r="1872" spans="1:8" s="16" customFormat="1" x14ac:dyDescent="0.25">
      <c r="A1872" s="17">
        <v>1862</v>
      </c>
      <c r="B1872" s="17" t="s">
        <v>158</v>
      </c>
      <c r="C1872" s="17" t="s">
        <v>3738</v>
      </c>
      <c r="D1872" s="18">
        <v>20</v>
      </c>
      <c r="E1872" s="18">
        <v>2.68</v>
      </c>
      <c r="F1872" s="18">
        <v>3.22</v>
      </c>
      <c r="G1872" s="20" t="s">
        <v>4792</v>
      </c>
      <c r="H1872" s="19" t="str">
        <f>HYPERLINK("https://elefant.by/catalogue/613923274","Посмотреть на сайте ...")</f>
        <v>Посмотреть на сайте ...</v>
      </c>
    </row>
    <row r="1873" spans="1:8" s="16" customFormat="1" x14ac:dyDescent="0.25">
      <c r="A1873" s="17">
        <v>1863</v>
      </c>
      <c r="B1873" s="17" t="s">
        <v>664</v>
      </c>
      <c r="C1873" s="17" t="s">
        <v>2158</v>
      </c>
      <c r="D1873" s="18">
        <v>12</v>
      </c>
      <c r="E1873" s="18">
        <v>5.39</v>
      </c>
      <c r="F1873" s="18">
        <v>6.47</v>
      </c>
      <c r="G1873" s="20" t="s">
        <v>2159</v>
      </c>
      <c r="H1873" s="19" t="str">
        <f>HYPERLINK("https://elefant.by/catalogue/407702195","Посмотреть на сайте ...")</f>
        <v>Посмотреть на сайте ...</v>
      </c>
    </row>
    <row r="1874" spans="1:8" s="16" customFormat="1" x14ac:dyDescent="0.25">
      <c r="A1874" s="17">
        <v>1864</v>
      </c>
      <c r="B1874" s="17" t="s">
        <v>664</v>
      </c>
      <c r="C1874" s="17" t="s">
        <v>2160</v>
      </c>
      <c r="D1874" s="18">
        <v>12</v>
      </c>
      <c r="E1874" s="18">
        <v>2.68</v>
      </c>
      <c r="F1874" s="18">
        <v>3.22</v>
      </c>
      <c r="G1874" s="20" t="s">
        <v>2161</v>
      </c>
      <c r="H1874" s="19" t="str">
        <f>HYPERLINK("https://elefant.by/catalogue/407702196","Посмотреть на сайте ...")</f>
        <v>Посмотреть на сайте ...</v>
      </c>
    </row>
    <row r="1875" spans="1:8" s="16" customFormat="1" x14ac:dyDescent="0.25">
      <c r="A1875" s="17">
        <v>1865</v>
      </c>
      <c r="B1875" s="17" t="s">
        <v>158</v>
      </c>
      <c r="C1875" s="17" t="s">
        <v>2162</v>
      </c>
      <c r="D1875" s="18">
        <v>10</v>
      </c>
      <c r="E1875" s="18">
        <v>7.02</v>
      </c>
      <c r="F1875" s="18">
        <v>8.42</v>
      </c>
      <c r="G1875" s="20" t="s">
        <v>2163</v>
      </c>
      <c r="H1875" s="19" t="str">
        <f>HYPERLINK("https://elefant.by/catalogue/159477784","Посмотреть на сайте ...")</f>
        <v>Посмотреть на сайте ...</v>
      </c>
    </row>
    <row r="1876" spans="1:8" s="16" customFormat="1" x14ac:dyDescent="0.25">
      <c r="A1876" s="17">
        <v>1866</v>
      </c>
      <c r="B1876" s="17" t="s">
        <v>158</v>
      </c>
      <c r="C1876" s="17" t="s">
        <v>2164</v>
      </c>
      <c r="D1876" s="18">
        <v>1</v>
      </c>
      <c r="E1876" s="18">
        <v>7.02</v>
      </c>
      <c r="F1876" s="18">
        <v>8.42</v>
      </c>
      <c r="G1876" s="20" t="s">
        <v>2165</v>
      </c>
      <c r="H1876" s="19" t="str">
        <f>HYPERLINK("https://elefant.by/catalogue/165972286","Посмотреть на сайте ...")</f>
        <v>Посмотреть на сайте ...</v>
      </c>
    </row>
    <row r="1877" spans="1:8" s="16" customFormat="1" x14ac:dyDescent="0.25">
      <c r="A1877" s="17">
        <v>1867</v>
      </c>
      <c r="B1877" s="17" t="s">
        <v>158</v>
      </c>
      <c r="C1877" s="17" t="s">
        <v>2166</v>
      </c>
      <c r="D1877" s="18">
        <v>1</v>
      </c>
      <c r="E1877" s="18">
        <v>5.2</v>
      </c>
      <c r="F1877" s="18">
        <v>6.24</v>
      </c>
      <c r="G1877" s="20" t="s">
        <v>2167</v>
      </c>
      <c r="H1877" s="19" t="str">
        <f>HYPERLINK("https://elefant.by/catalogue/164909571","Посмотреть на сайте ...")</f>
        <v>Посмотреть на сайте ...</v>
      </c>
    </row>
    <row r="1878" spans="1:8" s="16" customFormat="1" x14ac:dyDescent="0.25">
      <c r="A1878" s="17">
        <v>1868</v>
      </c>
      <c r="B1878" s="17" t="s">
        <v>158</v>
      </c>
      <c r="C1878" s="17" t="s">
        <v>2168</v>
      </c>
      <c r="D1878" s="18">
        <v>6</v>
      </c>
      <c r="E1878" s="18">
        <v>5.56</v>
      </c>
      <c r="F1878" s="18">
        <v>6.67</v>
      </c>
      <c r="G1878" s="20" t="s">
        <v>2169</v>
      </c>
      <c r="H1878" s="19" t="str">
        <f>HYPERLINK("https://elefant.by/catalogue/173808679","Посмотреть на сайте ...")</f>
        <v>Посмотреть на сайте ...</v>
      </c>
    </row>
    <row r="1879" spans="1:8" s="16" customFormat="1" x14ac:dyDescent="0.25">
      <c r="A1879" s="17">
        <v>1869</v>
      </c>
      <c r="B1879" s="17" t="s">
        <v>223</v>
      </c>
      <c r="C1879" s="17" t="s">
        <v>2170</v>
      </c>
      <c r="D1879" s="18">
        <v>20</v>
      </c>
      <c r="E1879" s="18">
        <v>0.31</v>
      </c>
      <c r="F1879" s="18">
        <v>0.37</v>
      </c>
      <c r="G1879" s="20" t="s">
        <v>2171</v>
      </c>
      <c r="H1879" s="19" t="str">
        <f>HYPERLINK("https://elefant.by/catalogue/176608431","Посмотреть на сайте ...")</f>
        <v>Посмотреть на сайте ...</v>
      </c>
    </row>
    <row r="1880" spans="1:8" s="16" customFormat="1" x14ac:dyDescent="0.25">
      <c r="A1880" s="17">
        <v>1870</v>
      </c>
      <c r="B1880" s="17" t="s">
        <v>63</v>
      </c>
      <c r="C1880" s="17" t="s">
        <v>2172</v>
      </c>
      <c r="D1880" s="18">
        <v>10</v>
      </c>
      <c r="E1880" s="18">
        <v>0.24</v>
      </c>
      <c r="F1880" s="18">
        <v>0.28999999999999998</v>
      </c>
      <c r="G1880" s="20" t="s">
        <v>2173</v>
      </c>
      <c r="H1880" s="19" t="str">
        <f>HYPERLINK("https://elefant.by/catalogue/451386058","Посмотреть на сайте ...")</f>
        <v>Посмотреть на сайте ...</v>
      </c>
    </row>
    <row r="1881" spans="1:8" s="16" customFormat="1" x14ac:dyDescent="0.25">
      <c r="A1881" s="17">
        <v>1871</v>
      </c>
      <c r="B1881" s="17" t="s">
        <v>9</v>
      </c>
      <c r="C1881" s="17" t="s">
        <v>2174</v>
      </c>
      <c r="D1881" s="18">
        <v>20</v>
      </c>
      <c r="E1881" s="18">
        <v>0.6</v>
      </c>
      <c r="F1881" s="18">
        <v>0.72</v>
      </c>
      <c r="G1881" s="20" t="s">
        <v>2175</v>
      </c>
      <c r="H1881" s="19" t="str">
        <f>HYPERLINK("https://elefant.by/catalogue/149993639","Посмотреть на сайте ...")</f>
        <v>Посмотреть на сайте ...</v>
      </c>
    </row>
    <row r="1882" spans="1:8" s="16" customFormat="1" x14ac:dyDescent="0.25">
      <c r="A1882" s="17">
        <v>1872</v>
      </c>
      <c r="B1882" s="17" t="s">
        <v>9</v>
      </c>
      <c r="C1882" s="17" t="s">
        <v>3739</v>
      </c>
      <c r="D1882" s="18">
        <v>20</v>
      </c>
      <c r="E1882" s="18">
        <v>0.64</v>
      </c>
      <c r="F1882" s="18">
        <v>0.77</v>
      </c>
      <c r="G1882" s="20" t="s">
        <v>4793</v>
      </c>
      <c r="H1882" s="19" t="str">
        <f>HYPERLINK("https://elefant.by/catalogue/401925919","Посмотреть на сайте ...")</f>
        <v>Посмотреть на сайте ...</v>
      </c>
    </row>
    <row r="1883" spans="1:8" s="16" customFormat="1" x14ac:dyDescent="0.25">
      <c r="A1883" s="17">
        <v>1873</v>
      </c>
      <c r="B1883" s="17" t="s">
        <v>9</v>
      </c>
      <c r="C1883" s="17" t="s">
        <v>2176</v>
      </c>
      <c r="D1883" s="18">
        <v>20</v>
      </c>
      <c r="E1883" s="18">
        <v>0.69</v>
      </c>
      <c r="F1883" s="18">
        <v>0.83</v>
      </c>
      <c r="G1883" s="20" t="s">
        <v>2177</v>
      </c>
      <c r="H1883" s="19" t="str">
        <f>HYPERLINK("https://elefant.by/catalogue/147108995","Посмотреть на сайте ...")</f>
        <v>Посмотреть на сайте ...</v>
      </c>
    </row>
    <row r="1884" spans="1:8" s="16" customFormat="1" x14ac:dyDescent="0.25">
      <c r="A1884" s="17">
        <v>1874</v>
      </c>
      <c r="B1884" s="17" t="s">
        <v>285</v>
      </c>
      <c r="C1884" s="17" t="s">
        <v>2178</v>
      </c>
      <c r="D1884" s="18">
        <v>20</v>
      </c>
      <c r="E1884" s="18">
        <v>0.25</v>
      </c>
      <c r="F1884" s="18">
        <v>0.3</v>
      </c>
      <c r="G1884" s="20" t="s">
        <v>2179</v>
      </c>
      <c r="H1884" s="19" t="str">
        <f>HYPERLINK("https://elefant.by/catalogue/176976882","Посмотреть на сайте ...")</f>
        <v>Посмотреть на сайте ...</v>
      </c>
    </row>
    <row r="1885" spans="1:8" s="16" customFormat="1" x14ac:dyDescent="0.25">
      <c r="A1885" s="17">
        <v>1875</v>
      </c>
      <c r="B1885" s="17" t="s">
        <v>17</v>
      </c>
      <c r="C1885" s="17" t="s">
        <v>2180</v>
      </c>
      <c r="D1885" s="18">
        <v>5</v>
      </c>
      <c r="E1885" s="18">
        <v>2.74</v>
      </c>
      <c r="F1885" s="18">
        <v>3.29</v>
      </c>
      <c r="G1885" s="20" t="s">
        <v>2181</v>
      </c>
      <c r="H1885" s="19" t="str">
        <f>HYPERLINK("https://elefant.by/catalogue/530306606","Посмотреть на сайте ...")</f>
        <v>Посмотреть на сайте ...</v>
      </c>
    </row>
    <row r="1886" spans="1:8" s="16" customFormat="1" x14ac:dyDescent="0.25">
      <c r="A1886" s="17">
        <v>1876</v>
      </c>
      <c r="B1886" s="17" t="s">
        <v>9</v>
      </c>
      <c r="C1886" s="17" t="s">
        <v>3740</v>
      </c>
      <c r="D1886" s="18">
        <v>20</v>
      </c>
      <c r="E1886" s="18">
        <v>3.92</v>
      </c>
      <c r="F1886" s="18">
        <v>4.7</v>
      </c>
      <c r="G1886" s="20" t="s">
        <v>4794</v>
      </c>
      <c r="H1886" s="19" t="str">
        <f>HYPERLINK("https://elefant.by/catalogue/155285383","Посмотреть на сайте ...")</f>
        <v>Посмотреть на сайте ...</v>
      </c>
    </row>
    <row r="1887" spans="1:8" s="16" customFormat="1" x14ac:dyDescent="0.25">
      <c r="A1887" s="17">
        <v>1877</v>
      </c>
      <c r="B1887" s="17" t="s">
        <v>17</v>
      </c>
      <c r="C1887" s="17" t="s">
        <v>3741</v>
      </c>
      <c r="D1887" s="18">
        <v>5</v>
      </c>
      <c r="E1887" s="18">
        <v>5.3</v>
      </c>
      <c r="F1887" s="18">
        <v>6.36</v>
      </c>
      <c r="G1887" s="20" t="s">
        <v>4795</v>
      </c>
      <c r="H1887" s="19" t="str">
        <f>HYPERLINK("https://elefant.by/catalogue/689758834","Посмотреть на сайте ...")</f>
        <v>Посмотреть на сайте ...</v>
      </c>
    </row>
    <row r="1888" spans="1:8" s="16" customFormat="1" x14ac:dyDescent="0.25">
      <c r="A1888" s="17">
        <v>1878</v>
      </c>
      <c r="B1888" s="17" t="s">
        <v>285</v>
      </c>
      <c r="C1888" s="17" t="s">
        <v>2182</v>
      </c>
      <c r="D1888" s="18">
        <v>1</v>
      </c>
      <c r="E1888" s="18">
        <v>7.23</v>
      </c>
      <c r="F1888" s="18">
        <v>8.68</v>
      </c>
      <c r="G1888" s="20" t="s">
        <v>2183</v>
      </c>
      <c r="H1888" s="19" t="str">
        <f>HYPERLINK("https://elefant.by/catalogue/524007605","Посмотреть на сайте ...")</f>
        <v>Посмотреть на сайте ...</v>
      </c>
    </row>
    <row r="1889" spans="1:8" s="16" customFormat="1" x14ac:dyDescent="0.25">
      <c r="A1889" s="17">
        <v>1879</v>
      </c>
      <c r="B1889" s="17" t="s">
        <v>63</v>
      </c>
      <c r="C1889" s="17" t="s">
        <v>2184</v>
      </c>
      <c r="D1889" s="18">
        <v>10</v>
      </c>
      <c r="E1889" s="18">
        <v>0.38</v>
      </c>
      <c r="F1889" s="18">
        <v>0.46</v>
      </c>
      <c r="G1889" s="20" t="s">
        <v>2185</v>
      </c>
      <c r="H1889" s="19" t="str">
        <f>HYPERLINK("https://elefant.by/catalogue/451386057","Посмотреть на сайте ...")</f>
        <v>Посмотреть на сайте ...</v>
      </c>
    </row>
    <row r="1890" spans="1:8" s="16" customFormat="1" x14ac:dyDescent="0.25">
      <c r="A1890" s="17">
        <v>1880</v>
      </c>
      <c r="B1890" s="17" t="s">
        <v>285</v>
      </c>
      <c r="C1890" s="17" t="s">
        <v>2186</v>
      </c>
      <c r="D1890" s="18">
        <v>20</v>
      </c>
      <c r="E1890" s="18">
        <v>0.66</v>
      </c>
      <c r="F1890" s="18">
        <v>0.79</v>
      </c>
      <c r="G1890" s="20" t="s">
        <v>2187</v>
      </c>
      <c r="H1890" s="19" t="str">
        <f>HYPERLINK("https://elefant.by/catalogue/176976883","Посмотреть на сайте ...")</f>
        <v>Посмотреть на сайте ...</v>
      </c>
    </row>
    <row r="1891" spans="1:8" s="16" customFormat="1" x14ac:dyDescent="0.25">
      <c r="A1891" s="17">
        <v>1881</v>
      </c>
      <c r="B1891" s="17" t="s">
        <v>9</v>
      </c>
      <c r="C1891" s="17" t="s">
        <v>3742</v>
      </c>
      <c r="D1891" s="18">
        <v>20</v>
      </c>
      <c r="E1891" s="18">
        <v>1.1100000000000001</v>
      </c>
      <c r="F1891" s="18">
        <v>1.33</v>
      </c>
      <c r="G1891" s="20" t="s">
        <v>4796</v>
      </c>
      <c r="H1891" s="19" t="str">
        <f>HYPERLINK("https://elefant.by/catalogue/149993657","Посмотреть на сайте ...")</f>
        <v>Посмотреть на сайте ...</v>
      </c>
    </row>
    <row r="1892" spans="1:8" s="16" customFormat="1" x14ac:dyDescent="0.25">
      <c r="A1892" s="17">
        <v>1882</v>
      </c>
      <c r="B1892" s="17" t="s">
        <v>9</v>
      </c>
      <c r="C1892" s="17" t="s">
        <v>2188</v>
      </c>
      <c r="D1892" s="18">
        <v>10</v>
      </c>
      <c r="E1892" s="18">
        <v>1.24</v>
      </c>
      <c r="F1892" s="18">
        <v>1.49</v>
      </c>
      <c r="G1892" s="20" t="s">
        <v>2189</v>
      </c>
      <c r="H1892" s="19" t="str">
        <f>HYPERLINK("https://elefant.by/catalogue/190418267","Посмотреть на сайте ...")</f>
        <v>Посмотреть на сайте ...</v>
      </c>
    </row>
    <row r="1893" spans="1:8" s="16" customFormat="1" x14ac:dyDescent="0.25">
      <c r="A1893" s="17">
        <v>1883</v>
      </c>
      <c r="B1893" s="17" t="s">
        <v>402</v>
      </c>
      <c r="C1893" s="17" t="s">
        <v>2190</v>
      </c>
      <c r="D1893" s="18">
        <v>12</v>
      </c>
      <c r="E1893" s="18">
        <v>1.74</v>
      </c>
      <c r="F1893" s="18">
        <v>2.09</v>
      </c>
      <c r="G1893" s="20" t="s">
        <v>2191</v>
      </c>
      <c r="H1893" s="19" t="str">
        <f>HYPERLINK("https://elefant.by/catalogue/594349587","Посмотреть на сайте ...")</f>
        <v>Посмотреть на сайте ...</v>
      </c>
    </row>
    <row r="1894" spans="1:8" s="16" customFormat="1" x14ac:dyDescent="0.25">
      <c r="A1894" s="17">
        <v>1884</v>
      </c>
      <c r="B1894" s="17" t="s">
        <v>322</v>
      </c>
      <c r="C1894" s="17" t="s">
        <v>3743</v>
      </c>
      <c r="D1894" s="18">
        <v>36</v>
      </c>
      <c r="E1894" s="18">
        <v>1.33</v>
      </c>
      <c r="F1894" s="18">
        <v>1.6</v>
      </c>
      <c r="G1894" s="20"/>
      <c r="H1894" s="19" t="str">
        <f>HYPERLINK("https://elefant.by/catalogue/704168009","Посмотреть на сайте ...")</f>
        <v>Посмотреть на сайте ...</v>
      </c>
    </row>
    <row r="1895" spans="1:8" s="16" customFormat="1" x14ac:dyDescent="0.25">
      <c r="A1895" s="17">
        <v>1885</v>
      </c>
      <c r="B1895" s="17" t="s">
        <v>322</v>
      </c>
      <c r="C1895" s="17" t="s">
        <v>2192</v>
      </c>
      <c r="D1895" s="18">
        <v>36</v>
      </c>
      <c r="E1895" s="18">
        <v>1.49</v>
      </c>
      <c r="F1895" s="18">
        <v>1.79</v>
      </c>
      <c r="G1895" s="20" t="s">
        <v>2193</v>
      </c>
      <c r="H1895" s="19" t="str">
        <f>HYPERLINK("https://elefant.by/catalogue/164808024","Посмотреть на сайте ...")</f>
        <v>Посмотреть на сайте ...</v>
      </c>
    </row>
    <row r="1896" spans="1:8" s="16" customFormat="1" x14ac:dyDescent="0.25">
      <c r="A1896" s="17">
        <v>1886</v>
      </c>
      <c r="B1896" s="17" t="s">
        <v>322</v>
      </c>
      <c r="C1896" s="17" t="s">
        <v>2194</v>
      </c>
      <c r="D1896" s="18">
        <v>36</v>
      </c>
      <c r="E1896" s="18">
        <v>1.51</v>
      </c>
      <c r="F1896" s="18">
        <v>1.81</v>
      </c>
      <c r="G1896" s="20" t="s">
        <v>2195</v>
      </c>
      <c r="H1896" s="19" t="str">
        <f>HYPERLINK("https://elefant.by/catalogue/163586821","Посмотреть на сайте ...")</f>
        <v>Посмотреть на сайте ...</v>
      </c>
    </row>
    <row r="1897" spans="1:8" s="16" customFormat="1" x14ac:dyDescent="0.25">
      <c r="A1897" s="17">
        <v>1887</v>
      </c>
      <c r="B1897" s="17" t="s">
        <v>322</v>
      </c>
      <c r="C1897" s="17" t="s">
        <v>2196</v>
      </c>
      <c r="D1897" s="18">
        <v>6</v>
      </c>
      <c r="E1897" s="18">
        <v>1.0900000000000001</v>
      </c>
      <c r="F1897" s="18">
        <v>1.31</v>
      </c>
      <c r="G1897" s="20" t="s">
        <v>2197</v>
      </c>
      <c r="H1897" s="19" t="str">
        <f>HYPERLINK("https://elefant.by/catalogue/173315858","Посмотреть на сайте ...")</f>
        <v>Посмотреть на сайте ...</v>
      </c>
    </row>
    <row r="1898" spans="1:8" s="16" customFormat="1" x14ac:dyDescent="0.25">
      <c r="A1898" s="17">
        <v>1888</v>
      </c>
      <c r="B1898" s="17" t="s">
        <v>322</v>
      </c>
      <c r="C1898" s="17" t="s">
        <v>2198</v>
      </c>
      <c r="D1898" s="18">
        <v>6</v>
      </c>
      <c r="E1898" s="18">
        <v>1.0900000000000001</v>
      </c>
      <c r="F1898" s="18">
        <v>1.31</v>
      </c>
      <c r="G1898" s="20" t="s">
        <v>2199</v>
      </c>
      <c r="H1898" s="19" t="str">
        <f>HYPERLINK("https://elefant.by/catalogue/173315857","Посмотреть на сайте ...")</f>
        <v>Посмотреть на сайте ...</v>
      </c>
    </row>
    <row r="1899" spans="1:8" s="16" customFormat="1" x14ac:dyDescent="0.25">
      <c r="A1899" s="17">
        <v>1889</v>
      </c>
      <c r="B1899" s="17" t="s">
        <v>322</v>
      </c>
      <c r="C1899" s="17" t="s">
        <v>2200</v>
      </c>
      <c r="D1899" s="18">
        <v>6</v>
      </c>
      <c r="E1899" s="18">
        <v>1.0900000000000001</v>
      </c>
      <c r="F1899" s="18">
        <v>1.31</v>
      </c>
      <c r="G1899" s="20" t="s">
        <v>2201</v>
      </c>
      <c r="H1899" s="19" t="str">
        <f>HYPERLINK("https://elefant.by/catalogue/173315854","Посмотреть на сайте ...")</f>
        <v>Посмотреть на сайте ...</v>
      </c>
    </row>
    <row r="1900" spans="1:8" s="16" customFormat="1" x14ac:dyDescent="0.25">
      <c r="A1900" s="17">
        <v>1890</v>
      </c>
      <c r="B1900" s="17" t="s">
        <v>322</v>
      </c>
      <c r="C1900" s="17" t="s">
        <v>2202</v>
      </c>
      <c r="D1900" s="18">
        <v>6</v>
      </c>
      <c r="E1900" s="18">
        <v>1.0900000000000001</v>
      </c>
      <c r="F1900" s="18">
        <v>1.31</v>
      </c>
      <c r="G1900" s="20" t="s">
        <v>2203</v>
      </c>
      <c r="H1900" s="19" t="str">
        <f>HYPERLINK("https://elefant.by/catalogue/175545845","Посмотреть на сайте ...")</f>
        <v>Посмотреть на сайте ...</v>
      </c>
    </row>
    <row r="1901" spans="1:8" s="16" customFormat="1" x14ac:dyDescent="0.25">
      <c r="A1901" s="17">
        <v>1891</v>
      </c>
      <c r="B1901" s="17" t="s">
        <v>322</v>
      </c>
      <c r="C1901" s="17" t="s">
        <v>2204</v>
      </c>
      <c r="D1901" s="18">
        <v>36</v>
      </c>
      <c r="E1901" s="18">
        <v>2.1800000000000002</v>
      </c>
      <c r="F1901" s="18">
        <v>2.62</v>
      </c>
      <c r="G1901" s="20" t="s">
        <v>2205</v>
      </c>
      <c r="H1901" s="19" t="str">
        <f>HYPERLINK("https://elefant.by/catalogue/178883278","Посмотреть на сайте ...")</f>
        <v>Посмотреть на сайте ...</v>
      </c>
    </row>
    <row r="1902" spans="1:8" s="16" customFormat="1" x14ac:dyDescent="0.25">
      <c r="A1902" s="17">
        <v>1892</v>
      </c>
      <c r="B1902" s="17" t="s">
        <v>322</v>
      </c>
      <c r="C1902" s="17" t="s">
        <v>2206</v>
      </c>
      <c r="D1902" s="18">
        <v>36</v>
      </c>
      <c r="E1902" s="18">
        <v>2.15</v>
      </c>
      <c r="F1902" s="18">
        <v>2.58</v>
      </c>
      <c r="G1902" s="20" t="s">
        <v>2207</v>
      </c>
      <c r="H1902" s="19" t="str">
        <f>HYPERLINK("https://elefant.by/catalogue/174196964","Посмотреть на сайте ...")</f>
        <v>Посмотреть на сайте ...</v>
      </c>
    </row>
    <row r="1903" spans="1:8" s="16" customFormat="1" x14ac:dyDescent="0.25">
      <c r="A1903" s="17">
        <v>1893</v>
      </c>
      <c r="B1903" s="17" t="s">
        <v>322</v>
      </c>
      <c r="C1903" s="17" t="s">
        <v>2208</v>
      </c>
      <c r="D1903" s="18">
        <v>24</v>
      </c>
      <c r="E1903" s="18">
        <v>0.92</v>
      </c>
      <c r="F1903" s="18">
        <v>1.1000000000000001</v>
      </c>
      <c r="G1903" s="20" t="s">
        <v>2209</v>
      </c>
      <c r="H1903" s="19" t="str">
        <f>HYPERLINK("https://elefant.by/catalogue/625277307","Посмотреть на сайте ...")</f>
        <v>Посмотреть на сайте ...</v>
      </c>
    </row>
    <row r="1904" spans="1:8" s="16" customFormat="1" x14ac:dyDescent="0.25">
      <c r="A1904" s="17">
        <v>1894</v>
      </c>
      <c r="B1904" s="17" t="s">
        <v>322</v>
      </c>
      <c r="C1904" s="17" t="s">
        <v>2210</v>
      </c>
      <c r="D1904" s="18">
        <v>36</v>
      </c>
      <c r="E1904" s="18">
        <v>3.07</v>
      </c>
      <c r="F1904" s="18">
        <v>3.68</v>
      </c>
      <c r="G1904" s="20" t="s">
        <v>2211</v>
      </c>
      <c r="H1904" s="19" t="str">
        <f>HYPERLINK("https://elefant.by/catalogue/163586822","Посмотреть на сайте ...")</f>
        <v>Посмотреть на сайте ...</v>
      </c>
    </row>
    <row r="1905" spans="1:8" s="16" customFormat="1" x14ac:dyDescent="0.25">
      <c r="A1905" s="17">
        <v>1895</v>
      </c>
      <c r="B1905" s="17" t="s">
        <v>322</v>
      </c>
      <c r="C1905" s="17" t="s">
        <v>2212</v>
      </c>
      <c r="D1905" s="18">
        <v>36</v>
      </c>
      <c r="E1905" s="18">
        <v>6.89</v>
      </c>
      <c r="F1905" s="18">
        <v>8.27</v>
      </c>
      <c r="G1905" s="20" t="s">
        <v>2213</v>
      </c>
      <c r="H1905" s="19" t="str">
        <f>HYPERLINK("https://elefant.by/catalogue/461501973","Посмотреть на сайте ...")</f>
        <v>Посмотреть на сайте ...</v>
      </c>
    </row>
    <row r="1906" spans="1:8" s="16" customFormat="1" x14ac:dyDescent="0.25">
      <c r="A1906" s="17">
        <v>1896</v>
      </c>
      <c r="B1906" s="17" t="s">
        <v>9</v>
      </c>
      <c r="C1906" s="17" t="s">
        <v>2214</v>
      </c>
      <c r="D1906" s="18">
        <v>24</v>
      </c>
      <c r="E1906" s="18">
        <v>1.94</v>
      </c>
      <c r="F1906" s="18">
        <v>2.33</v>
      </c>
      <c r="G1906" s="20" t="s">
        <v>2215</v>
      </c>
      <c r="H1906" s="19" t="str">
        <f>HYPERLINK("https://elefant.by/catalogue/153196850","Посмотреть на сайте ...")</f>
        <v>Посмотреть на сайте ...</v>
      </c>
    </row>
    <row r="1907" spans="1:8" s="16" customFormat="1" x14ac:dyDescent="0.25">
      <c r="A1907" s="17">
        <v>1897</v>
      </c>
      <c r="B1907" s="17" t="s">
        <v>2216</v>
      </c>
      <c r="C1907" s="17" t="s">
        <v>2217</v>
      </c>
      <c r="D1907" s="18">
        <v>12</v>
      </c>
      <c r="E1907" s="18">
        <v>2.34</v>
      </c>
      <c r="F1907" s="18">
        <v>2.81</v>
      </c>
      <c r="G1907" s="20" t="s">
        <v>2218</v>
      </c>
      <c r="H1907" s="19" t="str">
        <f>HYPERLINK("https://elefant.by/catalogue/383222111","Посмотреть на сайте ...")</f>
        <v>Посмотреть на сайте ...</v>
      </c>
    </row>
    <row r="1908" spans="1:8" s="16" customFormat="1" x14ac:dyDescent="0.25">
      <c r="A1908" s="17">
        <v>1898</v>
      </c>
      <c r="B1908" s="17" t="s">
        <v>63</v>
      </c>
      <c r="C1908" s="17" t="s">
        <v>2219</v>
      </c>
      <c r="D1908" s="18">
        <v>12</v>
      </c>
      <c r="E1908" s="18">
        <v>0.23</v>
      </c>
      <c r="F1908" s="18">
        <v>0.28000000000000003</v>
      </c>
      <c r="G1908" s="20" t="s">
        <v>2220</v>
      </c>
      <c r="H1908" s="19" t="str">
        <f>HYPERLINK("https://elefant.by/catalogue/567489461","Посмотреть на сайте ...")</f>
        <v>Посмотреть на сайте ...</v>
      </c>
    </row>
    <row r="1909" spans="1:8" s="16" customFormat="1" x14ac:dyDescent="0.25">
      <c r="A1909" s="17">
        <v>1899</v>
      </c>
      <c r="B1909" s="17" t="s">
        <v>63</v>
      </c>
      <c r="C1909" s="17" t="s">
        <v>2221</v>
      </c>
      <c r="D1909" s="18">
        <v>10</v>
      </c>
      <c r="E1909" s="18">
        <v>0.27</v>
      </c>
      <c r="F1909" s="18">
        <v>0.32</v>
      </c>
      <c r="G1909" s="20" t="s">
        <v>2222</v>
      </c>
      <c r="H1909" s="19" t="str">
        <f>HYPERLINK("https://elefant.by/catalogue/567489462","Посмотреть на сайте ...")</f>
        <v>Посмотреть на сайте ...</v>
      </c>
    </row>
    <row r="1910" spans="1:8" s="16" customFormat="1" x14ac:dyDescent="0.25">
      <c r="A1910" s="17">
        <v>1900</v>
      </c>
      <c r="B1910" s="17" t="s">
        <v>158</v>
      </c>
      <c r="C1910" s="17" t="s">
        <v>3744</v>
      </c>
      <c r="D1910" s="18">
        <v>12</v>
      </c>
      <c r="E1910" s="18">
        <v>0.35</v>
      </c>
      <c r="F1910" s="18">
        <v>0.42</v>
      </c>
      <c r="G1910" s="20" t="s">
        <v>4797</v>
      </c>
      <c r="H1910" s="19" t="str">
        <f>HYPERLINK("https://elefant.by/catalogue/160508812","Посмотреть на сайте ...")</f>
        <v>Посмотреть на сайте ...</v>
      </c>
    </row>
    <row r="1911" spans="1:8" s="16" customFormat="1" x14ac:dyDescent="0.25">
      <c r="A1911" s="17">
        <v>1901</v>
      </c>
      <c r="B1911" s="17" t="s">
        <v>63</v>
      </c>
      <c r="C1911" s="17" t="s">
        <v>2223</v>
      </c>
      <c r="D1911" s="18">
        <v>8</v>
      </c>
      <c r="E1911" s="18">
        <v>0.33</v>
      </c>
      <c r="F1911" s="18">
        <v>0.4</v>
      </c>
      <c r="G1911" s="20" t="s">
        <v>2224</v>
      </c>
      <c r="H1911" s="19" t="str">
        <f>HYPERLINK("https://elefant.by/catalogue/567489463","Посмотреть на сайте ...")</f>
        <v>Посмотреть на сайте ...</v>
      </c>
    </row>
    <row r="1912" spans="1:8" s="16" customFormat="1" x14ac:dyDescent="0.25">
      <c r="A1912" s="17">
        <v>1902</v>
      </c>
      <c r="B1912" s="17" t="s">
        <v>17</v>
      </c>
      <c r="C1912" s="17" t="s">
        <v>2225</v>
      </c>
      <c r="D1912" s="18">
        <v>12</v>
      </c>
      <c r="E1912" s="18">
        <v>2.0499999999999998</v>
      </c>
      <c r="F1912" s="18">
        <v>2.46</v>
      </c>
      <c r="G1912" s="20" t="s">
        <v>2226</v>
      </c>
      <c r="H1912" s="19" t="str">
        <f>HYPERLINK("https://elefant.by/catalogue/553959482","Посмотреть на сайте ...")</f>
        <v>Посмотреть на сайте ...</v>
      </c>
    </row>
    <row r="1913" spans="1:8" s="16" customFormat="1" x14ac:dyDescent="0.25">
      <c r="A1913" s="17">
        <v>1903</v>
      </c>
      <c r="B1913" s="17" t="s">
        <v>12</v>
      </c>
      <c r="C1913" s="17" t="s">
        <v>2227</v>
      </c>
      <c r="D1913" s="18">
        <v>10</v>
      </c>
      <c r="E1913" s="18">
        <v>0.5</v>
      </c>
      <c r="F1913" s="18">
        <v>0.6</v>
      </c>
      <c r="G1913" s="20" t="s">
        <v>2228</v>
      </c>
      <c r="H1913" s="19" t="str">
        <f>HYPERLINK("https://elefant.by/catalogue/572185864","Посмотреть на сайте ...")</f>
        <v>Посмотреть на сайте ...</v>
      </c>
    </row>
    <row r="1914" spans="1:8" s="16" customFormat="1" x14ac:dyDescent="0.25">
      <c r="A1914" s="17">
        <v>1904</v>
      </c>
      <c r="B1914" s="17" t="s">
        <v>17</v>
      </c>
      <c r="C1914" s="17" t="s">
        <v>3745</v>
      </c>
      <c r="D1914" s="18">
        <v>20</v>
      </c>
      <c r="E1914" s="18">
        <v>1</v>
      </c>
      <c r="F1914" s="18">
        <v>1.2</v>
      </c>
      <c r="G1914" s="20" t="s">
        <v>4798</v>
      </c>
      <c r="H1914" s="19" t="str">
        <f>HYPERLINK("https://elefant.by/catalogue/637329938","Посмотреть на сайте ...")</f>
        <v>Посмотреть на сайте ...</v>
      </c>
    </row>
    <row r="1915" spans="1:8" s="16" customFormat="1" x14ac:dyDescent="0.25">
      <c r="A1915" s="17">
        <v>1905</v>
      </c>
      <c r="B1915" s="17" t="s">
        <v>12</v>
      </c>
      <c r="C1915" s="17" t="s">
        <v>2239</v>
      </c>
      <c r="D1915" s="18">
        <v>10</v>
      </c>
      <c r="E1915" s="18">
        <v>0.56000000000000005</v>
      </c>
      <c r="F1915" s="18">
        <v>0.67</v>
      </c>
      <c r="G1915" s="20" t="s">
        <v>2240</v>
      </c>
      <c r="H1915" s="19" t="str">
        <f>HYPERLINK("https://elefant.by/catalogue/451386054","Посмотреть на сайте ...")</f>
        <v>Посмотреть на сайте ...</v>
      </c>
    </row>
    <row r="1916" spans="1:8" s="16" customFormat="1" x14ac:dyDescent="0.25">
      <c r="A1916" s="17">
        <v>1906</v>
      </c>
      <c r="B1916" s="17" t="s">
        <v>9</v>
      </c>
      <c r="C1916" s="17" t="s">
        <v>2229</v>
      </c>
      <c r="D1916" s="18">
        <v>10</v>
      </c>
      <c r="E1916" s="18">
        <v>0.98</v>
      </c>
      <c r="F1916" s="18">
        <v>1.18</v>
      </c>
      <c r="G1916" s="20" t="s">
        <v>2230</v>
      </c>
      <c r="H1916" s="19" t="str">
        <f>HYPERLINK("https://elefant.by/catalogue/159618138","Посмотреть на сайте ...")</f>
        <v>Посмотреть на сайте ...</v>
      </c>
    </row>
    <row r="1917" spans="1:8" s="16" customFormat="1" x14ac:dyDescent="0.25">
      <c r="A1917" s="17">
        <v>1907</v>
      </c>
      <c r="B1917" s="17" t="s">
        <v>9</v>
      </c>
      <c r="C1917" s="17" t="s">
        <v>2231</v>
      </c>
      <c r="D1917" s="18">
        <v>10</v>
      </c>
      <c r="E1917" s="18">
        <v>1.21</v>
      </c>
      <c r="F1917" s="18">
        <v>1.45</v>
      </c>
      <c r="G1917" s="20" t="s">
        <v>2232</v>
      </c>
      <c r="H1917" s="19" t="str">
        <f>HYPERLINK("https://elefant.by/catalogue/154849290","Посмотреть на сайте ...")</f>
        <v>Посмотреть на сайте ...</v>
      </c>
    </row>
    <row r="1918" spans="1:8" s="16" customFormat="1" x14ac:dyDescent="0.25">
      <c r="A1918" s="17">
        <v>1908</v>
      </c>
      <c r="B1918" s="17" t="s">
        <v>9</v>
      </c>
      <c r="C1918" s="17" t="s">
        <v>2233</v>
      </c>
      <c r="D1918" s="18">
        <v>24</v>
      </c>
      <c r="E1918" s="18">
        <v>1.23</v>
      </c>
      <c r="F1918" s="18">
        <v>1.48</v>
      </c>
      <c r="G1918" s="20" t="s">
        <v>2234</v>
      </c>
      <c r="H1918" s="19" t="str">
        <f>HYPERLINK("https://elefant.by/catalogue/174277863","Посмотреть на сайте ...")</f>
        <v>Посмотреть на сайте ...</v>
      </c>
    </row>
    <row r="1919" spans="1:8" s="16" customFormat="1" x14ac:dyDescent="0.25">
      <c r="A1919" s="17">
        <v>1909</v>
      </c>
      <c r="B1919" s="17" t="s">
        <v>9</v>
      </c>
      <c r="C1919" s="17" t="s">
        <v>3746</v>
      </c>
      <c r="D1919" s="18">
        <v>24</v>
      </c>
      <c r="E1919" s="18">
        <v>1.31</v>
      </c>
      <c r="F1919" s="18">
        <v>1.57</v>
      </c>
      <c r="G1919" s="20" t="s">
        <v>4799</v>
      </c>
      <c r="H1919" s="19" t="str">
        <f>HYPERLINK("https://elefant.by/catalogue/160724602","Посмотреть на сайте ...")</f>
        <v>Посмотреть на сайте ...</v>
      </c>
    </row>
    <row r="1920" spans="1:8" s="16" customFormat="1" x14ac:dyDescent="0.25">
      <c r="A1920" s="17">
        <v>1910</v>
      </c>
      <c r="B1920" s="17" t="s">
        <v>9</v>
      </c>
      <c r="C1920" s="17" t="s">
        <v>2235</v>
      </c>
      <c r="D1920" s="18">
        <v>24</v>
      </c>
      <c r="E1920" s="18">
        <v>1.28</v>
      </c>
      <c r="F1920" s="18">
        <v>1.54</v>
      </c>
      <c r="G1920" s="20" t="s">
        <v>2236</v>
      </c>
      <c r="H1920" s="19" t="str">
        <f>HYPERLINK("https://elefant.by/catalogue/184553441","Посмотреть на сайте ...")</f>
        <v>Посмотреть на сайте ...</v>
      </c>
    </row>
    <row r="1921" spans="1:8" s="16" customFormat="1" x14ac:dyDescent="0.25">
      <c r="A1921" s="17">
        <v>1911</v>
      </c>
      <c r="B1921" s="17" t="s">
        <v>20</v>
      </c>
      <c r="C1921" s="17" t="s">
        <v>2237</v>
      </c>
      <c r="D1921" s="18">
        <v>10</v>
      </c>
      <c r="E1921" s="18">
        <v>0.51</v>
      </c>
      <c r="F1921" s="18">
        <v>0.61</v>
      </c>
      <c r="G1921" s="20" t="s">
        <v>2238</v>
      </c>
      <c r="H1921" s="19" t="str">
        <f>HYPERLINK("https://elefant.by/catalogue/594012066","Посмотреть на сайте ...")</f>
        <v>Посмотреть на сайте ...</v>
      </c>
    </row>
    <row r="1922" spans="1:8" s="16" customFormat="1" x14ac:dyDescent="0.25">
      <c r="A1922" s="17">
        <v>1912</v>
      </c>
      <c r="B1922" s="17" t="s">
        <v>223</v>
      </c>
      <c r="C1922" s="17" t="s">
        <v>2241</v>
      </c>
      <c r="D1922" s="18">
        <v>198</v>
      </c>
      <c r="E1922" s="18">
        <v>0.41</v>
      </c>
      <c r="F1922" s="18">
        <v>0.49</v>
      </c>
      <c r="G1922" s="20" t="s">
        <v>2242</v>
      </c>
      <c r="H1922" s="19" t="str">
        <f>HYPERLINK("https://elefant.by/catalogue/175145536","Посмотреть на сайте ...")</f>
        <v>Посмотреть на сайте ...</v>
      </c>
    </row>
    <row r="1923" spans="1:8" s="16" customFormat="1" x14ac:dyDescent="0.25">
      <c r="A1923" s="17">
        <v>1913</v>
      </c>
      <c r="B1923" s="17" t="s">
        <v>223</v>
      </c>
      <c r="C1923" s="17" t="s">
        <v>3747</v>
      </c>
      <c r="D1923" s="18">
        <v>10</v>
      </c>
      <c r="E1923" s="18">
        <v>1</v>
      </c>
      <c r="F1923" s="18">
        <v>1.2</v>
      </c>
      <c r="G1923" s="20" t="s">
        <v>4800</v>
      </c>
      <c r="H1923" s="19" t="str">
        <f>HYPERLINK("https://elefant.by/catalogue/694236118","Посмотреть на сайте ...")</f>
        <v>Посмотреть на сайте ...</v>
      </c>
    </row>
    <row r="1924" spans="1:8" s="16" customFormat="1" x14ac:dyDescent="0.25">
      <c r="A1924" s="17">
        <v>1914</v>
      </c>
      <c r="B1924" s="17" t="s">
        <v>223</v>
      </c>
      <c r="C1924" s="17" t="s">
        <v>3748</v>
      </c>
      <c r="D1924" s="18">
        <v>40</v>
      </c>
      <c r="E1924" s="18">
        <v>1.1399999999999999</v>
      </c>
      <c r="F1924" s="18">
        <v>1.37</v>
      </c>
      <c r="G1924" s="20" t="s">
        <v>4801</v>
      </c>
      <c r="H1924" s="19" t="str">
        <f>HYPERLINK("https://elefant.by/catalogue/352922601","Посмотреть на сайте ...")</f>
        <v>Посмотреть на сайте ...</v>
      </c>
    </row>
    <row r="1925" spans="1:8" s="16" customFormat="1" x14ac:dyDescent="0.25">
      <c r="A1925" s="17">
        <v>1915</v>
      </c>
      <c r="B1925" s="17" t="s">
        <v>16</v>
      </c>
      <c r="C1925" s="17" t="s">
        <v>3749</v>
      </c>
      <c r="D1925" s="18">
        <v>10</v>
      </c>
      <c r="E1925" s="18">
        <v>3.53</v>
      </c>
      <c r="F1925" s="18">
        <v>4.24</v>
      </c>
      <c r="G1925" s="20" t="s">
        <v>4802</v>
      </c>
      <c r="H1925" s="19" t="str">
        <f>HYPERLINK("https://elefant.by/catalogue/523412793","Посмотреть на сайте ...")</f>
        <v>Посмотреть на сайте ...</v>
      </c>
    </row>
    <row r="1926" spans="1:8" s="16" customFormat="1" x14ac:dyDescent="0.25">
      <c r="A1926" s="17">
        <v>1916</v>
      </c>
      <c r="B1926" s="17" t="s">
        <v>16</v>
      </c>
      <c r="C1926" s="17" t="s">
        <v>3750</v>
      </c>
      <c r="D1926" s="18">
        <v>10</v>
      </c>
      <c r="E1926" s="18">
        <v>2.78</v>
      </c>
      <c r="F1926" s="18">
        <v>3.34</v>
      </c>
      <c r="G1926" s="20" t="s">
        <v>4803</v>
      </c>
      <c r="H1926" s="19" t="str">
        <f>HYPERLINK("https://elefant.by/catalogue/523412790","Посмотреть на сайте ...")</f>
        <v>Посмотреть на сайте ...</v>
      </c>
    </row>
    <row r="1927" spans="1:8" s="16" customFormat="1" x14ac:dyDescent="0.25">
      <c r="A1927" s="17">
        <v>1917</v>
      </c>
      <c r="B1927" s="17" t="s">
        <v>16</v>
      </c>
      <c r="C1927" s="17" t="s">
        <v>3751</v>
      </c>
      <c r="D1927" s="18">
        <v>10</v>
      </c>
      <c r="E1927" s="18">
        <v>4.28</v>
      </c>
      <c r="F1927" s="18">
        <v>5.14</v>
      </c>
      <c r="G1927" s="20" t="s">
        <v>4804</v>
      </c>
      <c r="H1927" s="19" t="str">
        <f>HYPERLINK("https://elefant.by/catalogue/523412791","Посмотреть на сайте ...")</f>
        <v>Посмотреть на сайте ...</v>
      </c>
    </row>
    <row r="1928" spans="1:8" s="16" customFormat="1" x14ac:dyDescent="0.25">
      <c r="A1928" s="17">
        <v>1918</v>
      </c>
      <c r="B1928" s="17" t="s">
        <v>12</v>
      </c>
      <c r="C1928" s="17" t="s">
        <v>2243</v>
      </c>
      <c r="D1928" s="18">
        <v>1</v>
      </c>
      <c r="E1928" s="18">
        <v>3.04</v>
      </c>
      <c r="F1928" s="18">
        <v>3.65</v>
      </c>
      <c r="G1928" s="20" t="s">
        <v>2244</v>
      </c>
      <c r="H1928" s="19" t="str">
        <f>HYPERLINK("https://elefant.by/catalogue/593572661","Посмотреть на сайте ...")</f>
        <v>Посмотреть на сайте ...</v>
      </c>
    </row>
    <row r="1929" spans="1:8" s="16" customFormat="1" x14ac:dyDescent="0.25">
      <c r="A1929" s="17">
        <v>1919</v>
      </c>
      <c r="B1929" s="17" t="s">
        <v>158</v>
      </c>
      <c r="C1929" s="17" t="s">
        <v>2245</v>
      </c>
      <c r="D1929" s="18">
        <v>1</v>
      </c>
      <c r="E1929" s="18">
        <v>5.15</v>
      </c>
      <c r="F1929" s="18">
        <v>6.18</v>
      </c>
      <c r="G1929" s="20" t="s">
        <v>2246</v>
      </c>
      <c r="H1929" s="19" t="str">
        <f>HYPERLINK("https://elefant.by/catalogue/527859573","Посмотреть на сайте ...")</f>
        <v>Посмотреть на сайте ...</v>
      </c>
    </row>
    <row r="1930" spans="1:8" s="16" customFormat="1" x14ac:dyDescent="0.25">
      <c r="A1930" s="17">
        <v>1920</v>
      </c>
      <c r="B1930" s="17" t="s">
        <v>158</v>
      </c>
      <c r="C1930" s="17" t="s">
        <v>2247</v>
      </c>
      <c r="D1930" s="18">
        <v>1</v>
      </c>
      <c r="E1930" s="18">
        <v>3.47</v>
      </c>
      <c r="F1930" s="18">
        <v>4.16</v>
      </c>
      <c r="G1930" s="20" t="s">
        <v>2248</v>
      </c>
      <c r="H1930" s="19" t="str">
        <f>HYPERLINK("https://elefant.by/catalogue/527007231","Посмотреть на сайте ...")</f>
        <v>Посмотреть на сайте ...</v>
      </c>
    </row>
    <row r="1931" spans="1:8" s="16" customFormat="1" x14ac:dyDescent="0.25">
      <c r="A1931" s="17">
        <v>1921</v>
      </c>
      <c r="B1931" s="17" t="s">
        <v>158</v>
      </c>
      <c r="C1931" s="17" t="s">
        <v>2249</v>
      </c>
      <c r="D1931" s="18">
        <v>1</v>
      </c>
      <c r="E1931" s="18">
        <v>2.68</v>
      </c>
      <c r="F1931" s="18">
        <v>3.22</v>
      </c>
      <c r="G1931" s="20" t="s">
        <v>4805</v>
      </c>
      <c r="H1931" s="19" t="str">
        <f>HYPERLINK("https://elefant.by/catalogue/527007230","Посмотреть на сайте ...")</f>
        <v>Посмотреть на сайте ...</v>
      </c>
    </row>
    <row r="1932" spans="1:8" s="16" customFormat="1" x14ac:dyDescent="0.25">
      <c r="A1932" s="17">
        <v>1922</v>
      </c>
      <c r="B1932" s="17" t="s">
        <v>158</v>
      </c>
      <c r="C1932" s="17" t="s">
        <v>2250</v>
      </c>
      <c r="D1932" s="18">
        <v>1</v>
      </c>
      <c r="E1932" s="18">
        <v>4.93</v>
      </c>
      <c r="F1932" s="18">
        <v>5.92</v>
      </c>
      <c r="G1932" s="20" t="s">
        <v>2251</v>
      </c>
      <c r="H1932" s="19" t="str">
        <f>HYPERLINK("https://elefant.by/catalogue/535562817","Посмотреть на сайте ...")</f>
        <v>Посмотреть на сайте ...</v>
      </c>
    </row>
    <row r="1933" spans="1:8" s="16" customFormat="1" x14ac:dyDescent="0.25">
      <c r="A1933" s="17">
        <v>1923</v>
      </c>
      <c r="B1933" s="17" t="s">
        <v>158</v>
      </c>
      <c r="C1933" s="17" t="s">
        <v>2252</v>
      </c>
      <c r="D1933" s="18">
        <v>1</v>
      </c>
      <c r="E1933" s="18">
        <v>3.9</v>
      </c>
      <c r="F1933" s="18">
        <v>4.68</v>
      </c>
      <c r="G1933" s="20" t="s">
        <v>2253</v>
      </c>
      <c r="H1933" s="19" t="str">
        <f>HYPERLINK("https://elefant.by/catalogue/523072565","Посмотреть на сайте ...")</f>
        <v>Посмотреть на сайте ...</v>
      </c>
    </row>
    <row r="1934" spans="1:8" s="16" customFormat="1" x14ac:dyDescent="0.25">
      <c r="A1934" s="17">
        <v>1924</v>
      </c>
      <c r="B1934" s="17" t="s">
        <v>158</v>
      </c>
      <c r="C1934" s="17" t="s">
        <v>2254</v>
      </c>
      <c r="D1934" s="18">
        <v>10</v>
      </c>
      <c r="E1934" s="18">
        <v>2.44</v>
      </c>
      <c r="F1934" s="18">
        <v>2.93</v>
      </c>
      <c r="G1934" s="20" t="s">
        <v>2255</v>
      </c>
      <c r="H1934" s="19" t="str">
        <f>HYPERLINK("https://elefant.by/catalogue/565042274","Посмотреть на сайте ...")</f>
        <v>Посмотреть на сайте ...</v>
      </c>
    </row>
    <row r="1935" spans="1:8" s="16" customFormat="1" x14ac:dyDescent="0.25">
      <c r="A1935" s="17">
        <v>1925</v>
      </c>
      <c r="B1935" s="17" t="s">
        <v>66</v>
      </c>
      <c r="C1935" s="17" t="s">
        <v>3752</v>
      </c>
      <c r="D1935" s="18">
        <v>12</v>
      </c>
      <c r="E1935" s="18">
        <v>1.17</v>
      </c>
      <c r="F1935" s="18">
        <v>1.4</v>
      </c>
      <c r="G1935" s="20" t="s">
        <v>4806</v>
      </c>
      <c r="H1935" s="19" t="str">
        <f>HYPERLINK("https://elefant.by/catalogue/176509263","Посмотреть на сайте ...")</f>
        <v>Посмотреть на сайте ...</v>
      </c>
    </row>
    <row r="1936" spans="1:8" s="16" customFormat="1" x14ac:dyDescent="0.25">
      <c r="A1936" s="17">
        <v>1926</v>
      </c>
      <c r="B1936" s="17" t="s">
        <v>158</v>
      </c>
      <c r="C1936" s="17" t="s">
        <v>2256</v>
      </c>
      <c r="D1936" s="18">
        <v>50</v>
      </c>
      <c r="E1936" s="18">
        <v>0.1</v>
      </c>
      <c r="F1936" s="18">
        <v>0.12</v>
      </c>
      <c r="G1936" s="20" t="s">
        <v>2257</v>
      </c>
      <c r="H1936" s="19" t="str">
        <f>HYPERLINK("https://elefant.by/catalogue/568399428","Посмотреть на сайте ...")</f>
        <v>Посмотреть на сайте ...</v>
      </c>
    </row>
    <row r="1937" spans="1:8" s="16" customFormat="1" x14ac:dyDescent="0.25">
      <c r="A1937" s="17">
        <v>1927</v>
      </c>
      <c r="B1937" s="17" t="s">
        <v>12</v>
      </c>
      <c r="C1937" s="17" t="s">
        <v>2260</v>
      </c>
      <c r="D1937" s="18">
        <v>12</v>
      </c>
      <c r="E1937" s="18">
        <v>1.99</v>
      </c>
      <c r="F1937" s="18">
        <v>2.39</v>
      </c>
      <c r="G1937" s="20" t="s">
        <v>2261</v>
      </c>
      <c r="H1937" s="19" t="str">
        <f>HYPERLINK("https://elefant.by/catalogue/454910675","Посмотреть на сайте ...")</f>
        <v>Посмотреть на сайте ...</v>
      </c>
    </row>
    <row r="1938" spans="1:8" s="16" customFormat="1" x14ac:dyDescent="0.25">
      <c r="A1938" s="17">
        <v>1928</v>
      </c>
      <c r="B1938" s="17" t="s">
        <v>20</v>
      </c>
      <c r="C1938" s="17" t="s">
        <v>2258</v>
      </c>
      <c r="D1938" s="18">
        <v>12</v>
      </c>
      <c r="E1938" s="18">
        <v>1.83</v>
      </c>
      <c r="F1938" s="18">
        <v>2.2000000000000002</v>
      </c>
      <c r="G1938" s="20" t="s">
        <v>2259</v>
      </c>
      <c r="H1938" s="19" t="str">
        <f>HYPERLINK("https://elefant.by/catalogue/622428845","Посмотреть на сайте ...")</f>
        <v>Посмотреть на сайте ...</v>
      </c>
    </row>
    <row r="1939" spans="1:8" s="16" customFormat="1" x14ac:dyDescent="0.25">
      <c r="A1939" s="17">
        <v>1929</v>
      </c>
      <c r="B1939" s="17" t="s">
        <v>63</v>
      </c>
      <c r="C1939" s="17" t="s">
        <v>2262</v>
      </c>
      <c r="D1939" s="18">
        <v>12</v>
      </c>
      <c r="E1939" s="18">
        <v>1.1299999999999999</v>
      </c>
      <c r="F1939" s="18">
        <v>1.36</v>
      </c>
      <c r="G1939" s="20" t="s">
        <v>2263</v>
      </c>
      <c r="H1939" s="19" t="str">
        <f>HYPERLINK("https://elefant.by/catalogue/474262376","Посмотреть на сайте ...")</f>
        <v>Посмотреть на сайте ...</v>
      </c>
    </row>
    <row r="1940" spans="1:8" s="16" customFormat="1" x14ac:dyDescent="0.25">
      <c r="A1940" s="17">
        <v>1930</v>
      </c>
      <c r="B1940" s="17" t="s">
        <v>63</v>
      </c>
      <c r="C1940" s="17" t="s">
        <v>2264</v>
      </c>
      <c r="D1940" s="18">
        <v>12</v>
      </c>
      <c r="E1940" s="18">
        <v>1.45</v>
      </c>
      <c r="F1940" s="18">
        <v>1.74</v>
      </c>
      <c r="G1940" s="20" t="s">
        <v>2265</v>
      </c>
      <c r="H1940" s="19" t="str">
        <f>HYPERLINK("https://elefant.by/catalogue/492375964","Посмотреть на сайте ...")</f>
        <v>Посмотреть на сайте ...</v>
      </c>
    </row>
    <row r="1941" spans="1:8" s="16" customFormat="1" x14ac:dyDescent="0.25">
      <c r="A1941" s="17">
        <v>1931</v>
      </c>
      <c r="B1941" s="17" t="s">
        <v>9</v>
      </c>
      <c r="C1941" s="17" t="s">
        <v>2266</v>
      </c>
      <c r="D1941" s="18">
        <v>12</v>
      </c>
      <c r="E1941" s="18">
        <v>3.17</v>
      </c>
      <c r="F1941" s="18">
        <v>3.8</v>
      </c>
      <c r="G1941" s="20" t="s">
        <v>2267</v>
      </c>
      <c r="H1941" s="19" t="str">
        <f>HYPERLINK("https://elefant.by/catalogue/148555752","Посмотреть на сайте ...")</f>
        <v>Посмотреть на сайте ...</v>
      </c>
    </row>
    <row r="1942" spans="1:8" s="16" customFormat="1" x14ac:dyDescent="0.25">
      <c r="A1942" s="17">
        <v>1932</v>
      </c>
      <c r="B1942" s="17" t="s">
        <v>9</v>
      </c>
      <c r="C1942" s="17" t="s">
        <v>2268</v>
      </c>
      <c r="D1942" s="18">
        <v>12</v>
      </c>
      <c r="E1942" s="18">
        <v>3.97</v>
      </c>
      <c r="F1942" s="18">
        <v>4.76</v>
      </c>
      <c r="G1942" s="20" t="s">
        <v>2269</v>
      </c>
      <c r="H1942" s="19" t="str">
        <f>HYPERLINK("https://elefant.by/catalogue/147111270","Посмотреть на сайте ...")</f>
        <v>Посмотреть на сайте ...</v>
      </c>
    </row>
    <row r="1943" spans="1:8" s="16" customFormat="1" x14ac:dyDescent="0.25">
      <c r="A1943" s="17">
        <v>1933</v>
      </c>
      <c r="B1943" s="17" t="s">
        <v>9</v>
      </c>
      <c r="C1943" s="17" t="s">
        <v>2270</v>
      </c>
      <c r="D1943" s="18">
        <v>12</v>
      </c>
      <c r="E1943" s="18">
        <v>3.64</v>
      </c>
      <c r="F1943" s="18">
        <v>4.37</v>
      </c>
      <c r="G1943" s="20" t="s">
        <v>2271</v>
      </c>
      <c r="H1943" s="19" t="str">
        <f>HYPERLINK("https://elefant.by/catalogue/147111368","Посмотреть на сайте ...")</f>
        <v>Посмотреть на сайте ...</v>
      </c>
    </row>
    <row r="1944" spans="1:8" s="16" customFormat="1" x14ac:dyDescent="0.25">
      <c r="A1944" s="17">
        <v>1934</v>
      </c>
      <c r="B1944" s="17" t="s">
        <v>9</v>
      </c>
      <c r="C1944" s="17" t="s">
        <v>2272</v>
      </c>
      <c r="D1944" s="18">
        <v>12</v>
      </c>
      <c r="E1944" s="18">
        <v>5.68</v>
      </c>
      <c r="F1944" s="18">
        <v>6.82</v>
      </c>
      <c r="G1944" s="20" t="s">
        <v>2273</v>
      </c>
      <c r="H1944" s="19" t="str">
        <f>HYPERLINK("https://elefant.by/catalogue/354017178","Посмотреть на сайте ...")</f>
        <v>Посмотреть на сайте ...</v>
      </c>
    </row>
    <row r="1945" spans="1:8" s="16" customFormat="1" x14ac:dyDescent="0.25">
      <c r="A1945" s="17">
        <v>1935</v>
      </c>
      <c r="B1945" s="17" t="s">
        <v>9</v>
      </c>
      <c r="C1945" s="17" t="s">
        <v>2274</v>
      </c>
      <c r="D1945" s="18">
        <v>12</v>
      </c>
      <c r="E1945" s="18">
        <v>6.72</v>
      </c>
      <c r="F1945" s="18">
        <v>8.06</v>
      </c>
      <c r="G1945" s="20" t="s">
        <v>2275</v>
      </c>
      <c r="H1945" s="19" t="str">
        <f>HYPERLINK("https://elefant.by/catalogue/345219363","Посмотреть на сайте ...")</f>
        <v>Посмотреть на сайте ...</v>
      </c>
    </row>
    <row r="1946" spans="1:8" s="16" customFormat="1" x14ac:dyDescent="0.25">
      <c r="A1946" s="17">
        <v>1936</v>
      </c>
      <c r="B1946" s="17" t="s">
        <v>9</v>
      </c>
      <c r="C1946" s="17" t="s">
        <v>2276</v>
      </c>
      <c r="D1946" s="18">
        <v>24</v>
      </c>
      <c r="E1946" s="18">
        <v>5.52</v>
      </c>
      <c r="F1946" s="18">
        <v>6.62</v>
      </c>
      <c r="G1946" s="20" t="s">
        <v>2277</v>
      </c>
      <c r="H1946" s="19" t="str">
        <f>HYPERLINK("https://elefant.by/catalogue/147150109","Посмотреть на сайте ...")</f>
        <v>Посмотреть на сайте ...</v>
      </c>
    </row>
    <row r="1947" spans="1:8" s="16" customFormat="1" x14ac:dyDescent="0.25">
      <c r="A1947" s="17">
        <v>1937</v>
      </c>
      <c r="B1947" s="17" t="s">
        <v>12</v>
      </c>
      <c r="C1947" s="17" t="s">
        <v>2278</v>
      </c>
      <c r="D1947" s="18">
        <v>12</v>
      </c>
      <c r="E1947" s="18">
        <v>6.62</v>
      </c>
      <c r="F1947" s="18">
        <v>7.94</v>
      </c>
      <c r="G1947" s="20" t="s">
        <v>2279</v>
      </c>
      <c r="H1947" s="19" t="str">
        <f>HYPERLINK("https://elefant.by/catalogue/505970890","Посмотреть на сайте ...")</f>
        <v>Посмотреть на сайте ...</v>
      </c>
    </row>
    <row r="1948" spans="1:8" s="16" customFormat="1" x14ac:dyDescent="0.25">
      <c r="A1948" s="17">
        <v>1938</v>
      </c>
      <c r="B1948" s="17" t="s">
        <v>9</v>
      </c>
      <c r="C1948" s="17" t="s">
        <v>2280</v>
      </c>
      <c r="D1948" s="18">
        <v>24</v>
      </c>
      <c r="E1948" s="18">
        <v>4.3</v>
      </c>
      <c r="F1948" s="18">
        <v>5.16</v>
      </c>
      <c r="G1948" s="20" t="s">
        <v>2281</v>
      </c>
      <c r="H1948" s="19" t="str">
        <f>HYPERLINK("https://elefant.by/catalogue/148555756","Посмотреть на сайте ...")</f>
        <v>Посмотреть на сайте ...</v>
      </c>
    </row>
    <row r="1949" spans="1:8" s="16" customFormat="1" x14ac:dyDescent="0.25">
      <c r="A1949" s="17">
        <v>1939</v>
      </c>
      <c r="B1949" s="17" t="s">
        <v>9</v>
      </c>
      <c r="C1949" s="17" t="s">
        <v>3753</v>
      </c>
      <c r="D1949" s="18">
        <v>24</v>
      </c>
      <c r="E1949" s="18">
        <v>4.3</v>
      </c>
      <c r="F1949" s="18">
        <v>5.16</v>
      </c>
      <c r="G1949" s="20" t="s">
        <v>4807</v>
      </c>
      <c r="H1949" s="19" t="str">
        <f>HYPERLINK("https://elefant.by/catalogue/151640056","Посмотреть на сайте ...")</f>
        <v>Посмотреть на сайте ...</v>
      </c>
    </row>
    <row r="1950" spans="1:8" s="16" customFormat="1" x14ac:dyDescent="0.25">
      <c r="A1950" s="17">
        <v>1940</v>
      </c>
      <c r="B1950" s="17" t="s">
        <v>9</v>
      </c>
      <c r="C1950" s="17" t="s">
        <v>2282</v>
      </c>
      <c r="D1950" s="18">
        <v>12</v>
      </c>
      <c r="E1950" s="18">
        <v>8.85</v>
      </c>
      <c r="F1950" s="18">
        <v>10.62</v>
      </c>
      <c r="G1950" s="20" t="s">
        <v>2283</v>
      </c>
      <c r="H1950" s="19" t="str">
        <f>HYPERLINK("https://elefant.by/catalogue/154570161","Посмотреть на сайте ...")</f>
        <v>Посмотреть на сайте ...</v>
      </c>
    </row>
    <row r="1951" spans="1:8" s="16" customFormat="1" x14ac:dyDescent="0.25">
      <c r="A1951" s="17">
        <v>1941</v>
      </c>
      <c r="B1951" s="17" t="s">
        <v>9</v>
      </c>
      <c r="C1951" s="17" t="s">
        <v>2284</v>
      </c>
      <c r="D1951" s="18">
        <v>12</v>
      </c>
      <c r="E1951" s="18">
        <v>8.85</v>
      </c>
      <c r="F1951" s="18">
        <v>10.62</v>
      </c>
      <c r="G1951" s="20" t="s">
        <v>2285</v>
      </c>
      <c r="H1951" s="19" t="str">
        <f>HYPERLINK("https://elefant.by/catalogue/147110801","Посмотреть на сайте ...")</f>
        <v>Посмотреть на сайте ...</v>
      </c>
    </row>
    <row r="1952" spans="1:8" s="16" customFormat="1" x14ac:dyDescent="0.25">
      <c r="A1952" s="17">
        <v>1942</v>
      </c>
      <c r="B1952" s="17" t="s">
        <v>9</v>
      </c>
      <c r="C1952" s="17" t="s">
        <v>3754</v>
      </c>
      <c r="D1952" s="18">
        <v>12</v>
      </c>
      <c r="E1952" s="18">
        <v>10.83</v>
      </c>
      <c r="F1952" s="18">
        <v>13</v>
      </c>
      <c r="G1952" s="20" t="s">
        <v>4808</v>
      </c>
      <c r="H1952" s="19" t="str">
        <f>HYPERLINK("https://elefant.by/catalogue/153369548","Посмотреть на сайте ...")</f>
        <v>Посмотреть на сайте ...</v>
      </c>
    </row>
    <row r="1953" spans="1:8" s="16" customFormat="1" x14ac:dyDescent="0.25">
      <c r="A1953" s="17">
        <v>1943</v>
      </c>
      <c r="B1953" s="17" t="s">
        <v>12</v>
      </c>
      <c r="C1953" s="17" t="s">
        <v>3755</v>
      </c>
      <c r="D1953" s="18">
        <v>12</v>
      </c>
      <c r="E1953" s="18">
        <v>4.7699999999999996</v>
      </c>
      <c r="F1953" s="18">
        <v>5.72</v>
      </c>
      <c r="G1953" s="20" t="s">
        <v>4809</v>
      </c>
      <c r="H1953" s="19" t="str">
        <f>HYPERLINK("https://elefant.by/catalogue/505970885","Посмотреть на сайте ...")</f>
        <v>Посмотреть на сайте ...</v>
      </c>
    </row>
    <row r="1954" spans="1:8" s="16" customFormat="1" x14ac:dyDescent="0.25">
      <c r="A1954" s="17">
        <v>1944</v>
      </c>
      <c r="B1954" s="17" t="s">
        <v>12</v>
      </c>
      <c r="C1954" s="17" t="s">
        <v>3756</v>
      </c>
      <c r="D1954" s="18">
        <v>12</v>
      </c>
      <c r="E1954" s="18">
        <v>4.29</v>
      </c>
      <c r="F1954" s="18">
        <v>5.15</v>
      </c>
      <c r="G1954" s="20" t="s">
        <v>4810</v>
      </c>
      <c r="H1954" s="19" t="str">
        <f>HYPERLINK("https://elefant.by/catalogue/698728920","Посмотреть на сайте ...")</f>
        <v>Посмотреть на сайте ...</v>
      </c>
    </row>
    <row r="1955" spans="1:8" s="16" customFormat="1" x14ac:dyDescent="0.25">
      <c r="A1955" s="17">
        <v>1945</v>
      </c>
      <c r="B1955" s="17" t="s">
        <v>12</v>
      </c>
      <c r="C1955" s="17" t="s">
        <v>2286</v>
      </c>
      <c r="D1955" s="18">
        <v>12</v>
      </c>
      <c r="E1955" s="18">
        <v>4.7699999999999996</v>
      </c>
      <c r="F1955" s="18">
        <v>5.72</v>
      </c>
      <c r="G1955" s="20" t="s">
        <v>2287</v>
      </c>
      <c r="H1955" s="19" t="str">
        <f>HYPERLINK("https://elefant.by/catalogue/454862908","Посмотреть на сайте ...")</f>
        <v>Посмотреть на сайте ...</v>
      </c>
    </row>
    <row r="1956" spans="1:8" s="16" customFormat="1" x14ac:dyDescent="0.25">
      <c r="A1956" s="17">
        <v>1946</v>
      </c>
      <c r="B1956" s="17" t="s">
        <v>12</v>
      </c>
      <c r="C1956" s="17" t="s">
        <v>2288</v>
      </c>
      <c r="D1956" s="18">
        <v>12</v>
      </c>
      <c r="E1956" s="18">
        <v>4.7699999999999996</v>
      </c>
      <c r="F1956" s="18">
        <v>5.72</v>
      </c>
      <c r="G1956" s="20" t="s">
        <v>2289</v>
      </c>
      <c r="H1956" s="19" t="str">
        <f>HYPERLINK("https://elefant.by/catalogue/454862910","Посмотреть на сайте ...")</f>
        <v>Посмотреть на сайте ...</v>
      </c>
    </row>
    <row r="1957" spans="1:8" s="16" customFormat="1" x14ac:dyDescent="0.25">
      <c r="A1957" s="17">
        <v>1947</v>
      </c>
      <c r="B1957" s="17" t="s">
        <v>17</v>
      </c>
      <c r="C1957" s="17" t="s">
        <v>2290</v>
      </c>
      <c r="D1957" s="18">
        <v>3</v>
      </c>
      <c r="E1957" s="18">
        <v>6.41</v>
      </c>
      <c r="F1957" s="18">
        <v>7.69</v>
      </c>
      <c r="G1957" s="20" t="s">
        <v>2291</v>
      </c>
      <c r="H1957" s="19" t="str">
        <f>HYPERLINK("https://elefant.by/catalogue/564387277","Посмотреть на сайте ...")</f>
        <v>Посмотреть на сайте ...</v>
      </c>
    </row>
    <row r="1958" spans="1:8" s="16" customFormat="1" x14ac:dyDescent="0.25">
      <c r="A1958" s="17">
        <v>1948</v>
      </c>
      <c r="B1958" s="17" t="s">
        <v>1785</v>
      </c>
      <c r="C1958" s="17" t="s">
        <v>2292</v>
      </c>
      <c r="D1958" s="18">
        <v>12</v>
      </c>
      <c r="E1958" s="18">
        <v>0.79</v>
      </c>
      <c r="F1958" s="18">
        <v>0.95</v>
      </c>
      <c r="G1958" s="20" t="s">
        <v>1803</v>
      </c>
      <c r="H1958" s="19" t="str">
        <f>HYPERLINK("https://elefant.by/catalogue/185059146","Посмотреть на сайте ...")</f>
        <v>Посмотреть на сайте ...</v>
      </c>
    </row>
    <row r="1959" spans="1:8" s="16" customFormat="1" x14ac:dyDescent="0.25">
      <c r="A1959" s="17">
        <v>1949</v>
      </c>
      <c r="B1959" s="17" t="s">
        <v>12</v>
      </c>
      <c r="C1959" s="17" t="s">
        <v>2293</v>
      </c>
      <c r="D1959" s="18">
        <v>100</v>
      </c>
      <c r="E1959" s="18">
        <v>0.12</v>
      </c>
      <c r="F1959" s="18">
        <v>0.14000000000000001</v>
      </c>
      <c r="G1959" s="20" t="s">
        <v>2294</v>
      </c>
      <c r="H1959" s="19" t="str">
        <f>HYPERLINK("https://elefant.by/catalogue/628886543","Посмотреть на сайте ...")</f>
        <v>Посмотреть на сайте ...</v>
      </c>
    </row>
    <row r="1960" spans="1:8" s="16" customFormat="1" x14ac:dyDescent="0.25">
      <c r="A1960" s="17">
        <v>1950</v>
      </c>
      <c r="B1960" s="17" t="s">
        <v>1785</v>
      </c>
      <c r="C1960" s="17" t="s">
        <v>2295</v>
      </c>
      <c r="D1960" s="18">
        <v>1</v>
      </c>
      <c r="E1960" s="18">
        <v>0.9</v>
      </c>
      <c r="F1960" s="18">
        <v>1.08</v>
      </c>
      <c r="G1960" s="20" t="s">
        <v>1793</v>
      </c>
      <c r="H1960" s="19" t="str">
        <f>HYPERLINK("https://elefant.by/catalogue/185059145","Посмотреть на сайте ...")</f>
        <v>Посмотреть на сайте ...</v>
      </c>
    </row>
    <row r="1961" spans="1:8" s="16" customFormat="1" x14ac:dyDescent="0.25">
      <c r="A1961" s="17">
        <v>1951</v>
      </c>
      <c r="B1961" s="17" t="s">
        <v>1785</v>
      </c>
      <c r="C1961" s="17" t="s">
        <v>2296</v>
      </c>
      <c r="D1961" s="18">
        <v>1</v>
      </c>
      <c r="E1961" s="18">
        <v>0.9</v>
      </c>
      <c r="F1961" s="18">
        <v>1.08</v>
      </c>
      <c r="G1961" s="20" t="s">
        <v>2297</v>
      </c>
      <c r="H1961" s="19" t="str">
        <f>HYPERLINK("https://elefant.by/catalogue/346349921","Посмотреть на сайте ...")</f>
        <v>Посмотреть на сайте ...</v>
      </c>
    </row>
    <row r="1962" spans="1:8" s="16" customFormat="1" x14ac:dyDescent="0.25">
      <c r="A1962" s="17">
        <v>1952</v>
      </c>
      <c r="B1962" s="17" t="s">
        <v>66</v>
      </c>
      <c r="C1962" s="17" t="s">
        <v>2298</v>
      </c>
      <c r="D1962" s="18">
        <v>100</v>
      </c>
      <c r="E1962" s="18">
        <v>0.11</v>
      </c>
      <c r="F1962" s="18">
        <v>0.13</v>
      </c>
      <c r="G1962" s="20" t="s">
        <v>2299</v>
      </c>
      <c r="H1962" s="19" t="str">
        <f>HYPERLINK("https://elefant.by/catalogue/147110311","Посмотреть на сайте ...")</f>
        <v>Посмотреть на сайте ...</v>
      </c>
    </row>
    <row r="1963" spans="1:8" s="16" customFormat="1" x14ac:dyDescent="0.25">
      <c r="A1963" s="17">
        <v>1953</v>
      </c>
      <c r="B1963" s="17" t="s">
        <v>66</v>
      </c>
      <c r="C1963" s="17" t="s">
        <v>3757</v>
      </c>
      <c r="D1963" s="18">
        <v>100</v>
      </c>
      <c r="E1963" s="18">
        <v>0.11</v>
      </c>
      <c r="F1963" s="18">
        <v>0.13</v>
      </c>
      <c r="G1963" s="20" t="s">
        <v>4811</v>
      </c>
      <c r="H1963" s="19" t="str">
        <f>HYPERLINK("https://elefant.by/catalogue/149501393","Посмотреть на сайте ...")</f>
        <v>Посмотреть на сайте ...</v>
      </c>
    </row>
    <row r="1964" spans="1:8" s="16" customFormat="1" x14ac:dyDescent="0.25">
      <c r="A1964" s="17">
        <v>1954</v>
      </c>
      <c r="B1964" s="17" t="s">
        <v>66</v>
      </c>
      <c r="C1964" s="17" t="s">
        <v>2300</v>
      </c>
      <c r="D1964" s="18">
        <v>100</v>
      </c>
      <c r="E1964" s="18">
        <v>0.14000000000000001</v>
      </c>
      <c r="F1964" s="18">
        <v>0.17</v>
      </c>
      <c r="G1964" s="20" t="s">
        <v>2301</v>
      </c>
      <c r="H1964" s="19" t="str">
        <f>HYPERLINK("https://elefant.by/catalogue/148082146","Посмотреть на сайте ...")</f>
        <v>Посмотреть на сайте ...</v>
      </c>
    </row>
    <row r="1965" spans="1:8" s="16" customFormat="1" x14ac:dyDescent="0.25">
      <c r="A1965" s="17">
        <v>1955</v>
      </c>
      <c r="B1965" s="17" t="s">
        <v>66</v>
      </c>
      <c r="C1965" s="17" t="s">
        <v>2302</v>
      </c>
      <c r="D1965" s="18">
        <v>100</v>
      </c>
      <c r="E1965" s="18">
        <v>0.15</v>
      </c>
      <c r="F1965" s="18">
        <v>0.18</v>
      </c>
      <c r="G1965" s="20" t="s">
        <v>2303</v>
      </c>
      <c r="H1965" s="19" t="str">
        <f>HYPERLINK("https://elefant.by/catalogue/149501396","Посмотреть на сайте ...")</f>
        <v>Посмотреть на сайте ...</v>
      </c>
    </row>
    <row r="1966" spans="1:8" s="16" customFormat="1" x14ac:dyDescent="0.25">
      <c r="A1966" s="17">
        <v>1956</v>
      </c>
      <c r="B1966" s="17" t="s">
        <v>66</v>
      </c>
      <c r="C1966" s="17" t="s">
        <v>2304</v>
      </c>
      <c r="D1966" s="18">
        <v>100</v>
      </c>
      <c r="E1966" s="18">
        <v>0.14000000000000001</v>
      </c>
      <c r="F1966" s="18">
        <v>0.17</v>
      </c>
      <c r="G1966" s="20" t="s">
        <v>2305</v>
      </c>
      <c r="H1966" s="19" t="str">
        <f>HYPERLINK("https://elefant.by/catalogue/148082145","Посмотреть на сайте ...")</f>
        <v>Посмотреть на сайте ...</v>
      </c>
    </row>
    <row r="1967" spans="1:8" s="16" customFormat="1" x14ac:dyDescent="0.25">
      <c r="A1967" s="17">
        <v>1957</v>
      </c>
      <c r="B1967" s="17" t="s">
        <v>66</v>
      </c>
      <c r="C1967" s="17" t="s">
        <v>2306</v>
      </c>
      <c r="D1967" s="18">
        <v>100</v>
      </c>
      <c r="E1967" s="18">
        <v>0.14000000000000001</v>
      </c>
      <c r="F1967" s="18">
        <v>0.17</v>
      </c>
      <c r="G1967" s="20" t="s">
        <v>2307</v>
      </c>
      <c r="H1967" s="19" t="str">
        <f>HYPERLINK("https://elefant.by/catalogue/148082162","Посмотреть на сайте ...")</f>
        <v>Посмотреть на сайте ...</v>
      </c>
    </row>
    <row r="1968" spans="1:8" s="16" customFormat="1" x14ac:dyDescent="0.25">
      <c r="A1968" s="17">
        <v>1958</v>
      </c>
      <c r="B1968" s="17" t="s">
        <v>12</v>
      </c>
      <c r="C1968" s="17" t="s">
        <v>2308</v>
      </c>
      <c r="D1968" s="18">
        <v>144</v>
      </c>
      <c r="E1968" s="18">
        <v>0.06</v>
      </c>
      <c r="F1968" s="18">
        <v>7.0000000000000007E-2</v>
      </c>
      <c r="G1968" s="20" t="s">
        <v>2309</v>
      </c>
      <c r="H1968" s="19" t="str">
        <f>HYPERLINK("https://elefant.by/catalogue/452522909","Посмотреть на сайте ...")</f>
        <v>Посмотреть на сайте ...</v>
      </c>
    </row>
    <row r="1969" spans="1:8" s="16" customFormat="1" x14ac:dyDescent="0.25">
      <c r="A1969" s="17">
        <v>1959</v>
      </c>
      <c r="B1969" s="17" t="s">
        <v>12</v>
      </c>
      <c r="C1969" s="17" t="s">
        <v>2347</v>
      </c>
      <c r="D1969" s="18">
        <v>10</v>
      </c>
      <c r="E1969" s="18">
        <v>0.74</v>
      </c>
      <c r="F1969" s="18">
        <v>0.89</v>
      </c>
      <c r="G1969" s="20" t="s">
        <v>4813</v>
      </c>
      <c r="H1969" s="19" t="str">
        <f>HYPERLINK("https://elefant.by/catalogue/596509683","Посмотреть на сайте ...")</f>
        <v>Посмотреть на сайте ...</v>
      </c>
    </row>
    <row r="1970" spans="1:8" s="16" customFormat="1" x14ac:dyDescent="0.25">
      <c r="A1970" s="17">
        <v>1960</v>
      </c>
      <c r="B1970" s="17" t="s">
        <v>12</v>
      </c>
      <c r="C1970" s="17" t="s">
        <v>2348</v>
      </c>
      <c r="D1970" s="18">
        <v>100</v>
      </c>
      <c r="E1970" s="18">
        <v>0.06</v>
      </c>
      <c r="F1970" s="18">
        <v>7.0000000000000007E-2</v>
      </c>
      <c r="G1970" s="20" t="s">
        <v>2349</v>
      </c>
      <c r="H1970" s="19" t="str">
        <f>HYPERLINK("https://elefant.by/catalogue/451126172","Посмотреть на сайте ...")</f>
        <v>Посмотреть на сайте ...</v>
      </c>
    </row>
    <row r="1971" spans="1:8" s="16" customFormat="1" x14ac:dyDescent="0.25">
      <c r="A1971" s="17">
        <v>1961</v>
      </c>
      <c r="B1971" s="17" t="s">
        <v>3579</v>
      </c>
      <c r="C1971" s="17" t="s">
        <v>2310</v>
      </c>
      <c r="D1971" s="18">
        <v>100</v>
      </c>
      <c r="E1971" s="18">
        <v>0.16</v>
      </c>
      <c r="F1971" s="18">
        <v>0.19</v>
      </c>
      <c r="G1971" s="20" t="s">
        <v>2311</v>
      </c>
      <c r="H1971" s="19" t="str">
        <f>HYPERLINK("https://elefant.by/catalogue/400784426","Посмотреть на сайте ...")</f>
        <v>Посмотреть на сайте ...</v>
      </c>
    </row>
    <row r="1972" spans="1:8" s="16" customFormat="1" x14ac:dyDescent="0.25">
      <c r="A1972" s="17">
        <v>1962</v>
      </c>
      <c r="B1972" s="17" t="s">
        <v>3579</v>
      </c>
      <c r="C1972" s="17" t="s">
        <v>2312</v>
      </c>
      <c r="D1972" s="18">
        <v>100</v>
      </c>
      <c r="E1972" s="18">
        <v>0.16</v>
      </c>
      <c r="F1972" s="18">
        <v>0.19</v>
      </c>
      <c r="G1972" s="20" t="s">
        <v>2313</v>
      </c>
      <c r="H1972" s="19" t="str">
        <f>HYPERLINK("https://elefant.by/catalogue/400784427","Посмотреть на сайте ...")</f>
        <v>Посмотреть на сайте ...</v>
      </c>
    </row>
    <row r="1973" spans="1:8" s="16" customFormat="1" x14ac:dyDescent="0.25">
      <c r="A1973" s="17">
        <v>1963</v>
      </c>
      <c r="B1973" s="17" t="s">
        <v>3579</v>
      </c>
      <c r="C1973" s="17" t="s">
        <v>2314</v>
      </c>
      <c r="D1973" s="18">
        <v>100</v>
      </c>
      <c r="E1973" s="18">
        <v>0.16</v>
      </c>
      <c r="F1973" s="18">
        <v>0.19</v>
      </c>
      <c r="G1973" s="20" t="s">
        <v>2315</v>
      </c>
      <c r="H1973" s="19" t="str">
        <f>HYPERLINK("https://elefant.by/catalogue/441266028","Посмотреть на сайте ...")</f>
        <v>Посмотреть на сайте ...</v>
      </c>
    </row>
    <row r="1974" spans="1:8" s="16" customFormat="1" x14ac:dyDescent="0.25">
      <c r="A1974" s="17">
        <v>1964</v>
      </c>
      <c r="B1974" s="17" t="s">
        <v>3579</v>
      </c>
      <c r="C1974" s="17" t="s">
        <v>2316</v>
      </c>
      <c r="D1974" s="18">
        <v>100</v>
      </c>
      <c r="E1974" s="18">
        <v>0.16</v>
      </c>
      <c r="F1974" s="18">
        <v>0.19</v>
      </c>
      <c r="G1974" s="20" t="s">
        <v>2317</v>
      </c>
      <c r="H1974" s="19" t="str">
        <f>HYPERLINK("https://elefant.by/catalogue/400784428","Посмотреть на сайте ...")</f>
        <v>Посмотреть на сайте ...</v>
      </c>
    </row>
    <row r="1975" spans="1:8" s="16" customFormat="1" x14ac:dyDescent="0.25">
      <c r="A1975" s="17">
        <v>1965</v>
      </c>
      <c r="B1975" s="17" t="s">
        <v>3579</v>
      </c>
      <c r="C1975" s="17" t="s">
        <v>2318</v>
      </c>
      <c r="D1975" s="18">
        <v>100</v>
      </c>
      <c r="E1975" s="18">
        <v>0.16</v>
      </c>
      <c r="F1975" s="18">
        <v>0.19</v>
      </c>
      <c r="G1975" s="20" t="s">
        <v>2319</v>
      </c>
      <c r="H1975" s="19" t="str">
        <f>HYPERLINK("https://elefant.by/catalogue/447661754","Посмотреть на сайте ...")</f>
        <v>Посмотреть на сайте ...</v>
      </c>
    </row>
    <row r="1976" spans="1:8" s="16" customFormat="1" x14ac:dyDescent="0.25">
      <c r="A1976" s="17">
        <v>1966</v>
      </c>
      <c r="B1976" s="17" t="s">
        <v>3579</v>
      </c>
      <c r="C1976" s="17" t="s">
        <v>2320</v>
      </c>
      <c r="D1976" s="18">
        <v>100</v>
      </c>
      <c r="E1976" s="18">
        <v>0.16</v>
      </c>
      <c r="F1976" s="18">
        <v>0.19</v>
      </c>
      <c r="G1976" s="20" t="s">
        <v>2321</v>
      </c>
      <c r="H1976" s="19" t="str">
        <f>HYPERLINK("https://elefant.by/catalogue/315061840","Посмотреть на сайте ...")</f>
        <v>Посмотреть на сайте ...</v>
      </c>
    </row>
    <row r="1977" spans="1:8" s="16" customFormat="1" x14ac:dyDescent="0.25">
      <c r="A1977" s="17">
        <v>1967</v>
      </c>
      <c r="B1977" s="17" t="s">
        <v>3579</v>
      </c>
      <c r="C1977" s="17" t="s">
        <v>2322</v>
      </c>
      <c r="D1977" s="18">
        <v>100</v>
      </c>
      <c r="E1977" s="18">
        <v>0.16</v>
      </c>
      <c r="F1977" s="18">
        <v>0.19</v>
      </c>
      <c r="G1977" s="20" t="s">
        <v>2323</v>
      </c>
      <c r="H1977" s="19" t="str">
        <f>HYPERLINK("https://elefant.by/catalogue/315061841","Посмотреть на сайте ...")</f>
        <v>Посмотреть на сайте ...</v>
      </c>
    </row>
    <row r="1978" spans="1:8" s="16" customFormat="1" x14ac:dyDescent="0.25">
      <c r="A1978" s="17">
        <v>1968</v>
      </c>
      <c r="B1978" s="17" t="s">
        <v>3579</v>
      </c>
      <c r="C1978" s="17" t="s">
        <v>2324</v>
      </c>
      <c r="D1978" s="18">
        <v>100</v>
      </c>
      <c r="E1978" s="18">
        <v>0.09</v>
      </c>
      <c r="F1978" s="18">
        <v>0.11</v>
      </c>
      <c r="G1978" s="20" t="s">
        <v>2325</v>
      </c>
      <c r="H1978" s="19" t="str">
        <f>HYPERLINK("https://elefant.by/catalogue/315061838","Посмотреть на сайте ...")</f>
        <v>Посмотреть на сайте ...</v>
      </c>
    </row>
    <row r="1979" spans="1:8" s="16" customFormat="1" x14ac:dyDescent="0.25">
      <c r="A1979" s="17">
        <v>1969</v>
      </c>
      <c r="B1979" s="17" t="s">
        <v>3579</v>
      </c>
      <c r="C1979" s="17" t="s">
        <v>2326</v>
      </c>
      <c r="D1979" s="18">
        <v>100</v>
      </c>
      <c r="E1979" s="18">
        <v>0.09</v>
      </c>
      <c r="F1979" s="18">
        <v>0.11</v>
      </c>
      <c r="G1979" s="20" t="s">
        <v>2327</v>
      </c>
      <c r="H1979" s="19" t="str">
        <f>HYPERLINK("https://elefant.by/catalogue/173041345","Посмотреть на сайте ...")</f>
        <v>Посмотреть на сайте ...</v>
      </c>
    </row>
    <row r="1980" spans="1:8" s="16" customFormat="1" x14ac:dyDescent="0.25">
      <c r="A1980" s="17">
        <v>1970</v>
      </c>
      <c r="B1980" s="17" t="s">
        <v>3579</v>
      </c>
      <c r="C1980" s="17" t="s">
        <v>2328</v>
      </c>
      <c r="D1980" s="18">
        <v>100</v>
      </c>
      <c r="E1980" s="18">
        <v>0.09</v>
      </c>
      <c r="F1980" s="18">
        <v>0.11</v>
      </c>
      <c r="G1980" s="20" t="s">
        <v>2329</v>
      </c>
      <c r="H1980" s="19" t="str">
        <f>HYPERLINK("https://elefant.by/catalogue/315061837","Посмотреть на сайте ...")</f>
        <v>Посмотреть на сайте ...</v>
      </c>
    </row>
    <row r="1981" spans="1:8" s="16" customFormat="1" x14ac:dyDescent="0.25">
      <c r="A1981" s="17">
        <v>1971</v>
      </c>
      <c r="B1981" s="17" t="s">
        <v>3579</v>
      </c>
      <c r="C1981" s="17" t="s">
        <v>2330</v>
      </c>
      <c r="D1981" s="18">
        <v>100</v>
      </c>
      <c r="E1981" s="18">
        <v>0.09</v>
      </c>
      <c r="F1981" s="18">
        <v>0.11</v>
      </c>
      <c r="G1981" s="20" t="s">
        <v>2331</v>
      </c>
      <c r="H1981" s="19" t="str">
        <f>HYPERLINK("https://elefant.by/catalogue/504834080","Посмотреть на сайте ...")</f>
        <v>Посмотреть на сайте ...</v>
      </c>
    </row>
    <row r="1982" spans="1:8" s="16" customFormat="1" x14ac:dyDescent="0.25">
      <c r="A1982" s="17">
        <v>1972</v>
      </c>
      <c r="B1982" s="17" t="s">
        <v>3579</v>
      </c>
      <c r="C1982" s="17" t="s">
        <v>3758</v>
      </c>
      <c r="D1982" s="18">
        <v>100</v>
      </c>
      <c r="E1982" s="18">
        <v>0.09</v>
      </c>
      <c r="F1982" s="18">
        <v>0.11</v>
      </c>
      <c r="G1982" s="20" t="s">
        <v>4812</v>
      </c>
      <c r="H1982" s="19" t="str">
        <f>HYPERLINK("https://elefant.by/catalogue/173041346","Посмотреть на сайте ...")</f>
        <v>Посмотреть на сайте ...</v>
      </c>
    </row>
    <row r="1983" spans="1:8" s="16" customFormat="1" x14ac:dyDescent="0.25">
      <c r="A1983" s="17">
        <v>1973</v>
      </c>
      <c r="B1983" s="17" t="s">
        <v>3579</v>
      </c>
      <c r="C1983" s="17" t="s">
        <v>2332</v>
      </c>
      <c r="D1983" s="18">
        <v>100</v>
      </c>
      <c r="E1983" s="18">
        <v>0.09</v>
      </c>
      <c r="F1983" s="18">
        <v>0.11</v>
      </c>
      <c r="G1983" s="20" t="s">
        <v>2333</v>
      </c>
      <c r="H1983" s="19" t="str">
        <f>HYPERLINK("https://elefant.by/catalogue/400784425","Посмотреть на сайте ...")</f>
        <v>Посмотреть на сайте ...</v>
      </c>
    </row>
    <row r="1984" spans="1:8" s="16" customFormat="1" x14ac:dyDescent="0.25">
      <c r="A1984" s="17">
        <v>1974</v>
      </c>
      <c r="B1984" s="17" t="s">
        <v>3579</v>
      </c>
      <c r="C1984" s="17" t="s">
        <v>2334</v>
      </c>
      <c r="D1984" s="18">
        <v>100</v>
      </c>
      <c r="E1984" s="18">
        <v>0.06</v>
      </c>
      <c r="F1984" s="18">
        <v>7.0000000000000007E-2</v>
      </c>
      <c r="G1984" s="20" t="s">
        <v>2335</v>
      </c>
      <c r="H1984" s="19" t="str">
        <f>HYPERLINK("https://elefant.by/catalogue/173041347","Посмотреть на сайте ...")</f>
        <v>Посмотреть на сайте ...</v>
      </c>
    </row>
    <row r="1985" spans="1:8" s="16" customFormat="1" x14ac:dyDescent="0.25">
      <c r="A1985" s="17">
        <v>1975</v>
      </c>
      <c r="B1985" s="17" t="s">
        <v>2342</v>
      </c>
      <c r="C1985" s="17" t="s">
        <v>2343</v>
      </c>
      <c r="D1985" s="18">
        <v>10</v>
      </c>
      <c r="E1985" s="18">
        <v>2.4900000000000002</v>
      </c>
      <c r="F1985" s="18">
        <v>2.99</v>
      </c>
      <c r="G1985" s="20" t="s">
        <v>2344</v>
      </c>
      <c r="H1985" s="19" t="str">
        <f>HYPERLINK("https://elefant.by/catalogue/587493169","Посмотреть на сайте ...")</f>
        <v>Посмотреть на сайте ...</v>
      </c>
    </row>
    <row r="1986" spans="1:8" s="16" customFormat="1" x14ac:dyDescent="0.25">
      <c r="A1986" s="17">
        <v>1976</v>
      </c>
      <c r="B1986" s="17" t="s">
        <v>2342</v>
      </c>
      <c r="C1986" s="17" t="s">
        <v>2345</v>
      </c>
      <c r="D1986" s="18">
        <v>10</v>
      </c>
      <c r="E1986" s="18">
        <v>2.4900000000000002</v>
      </c>
      <c r="F1986" s="18">
        <v>2.99</v>
      </c>
      <c r="G1986" s="20" t="s">
        <v>2346</v>
      </c>
      <c r="H1986" s="19" t="str">
        <f>HYPERLINK("https://elefant.by/catalogue/587493170","Посмотреть на сайте ...")</f>
        <v>Посмотреть на сайте ...</v>
      </c>
    </row>
    <row r="1987" spans="1:8" s="16" customFormat="1" x14ac:dyDescent="0.25">
      <c r="A1987" s="17">
        <v>1977</v>
      </c>
      <c r="B1987" s="17" t="s">
        <v>583</v>
      </c>
      <c r="C1987" s="17" t="s">
        <v>2336</v>
      </c>
      <c r="D1987" s="18">
        <v>10</v>
      </c>
      <c r="E1987" s="18">
        <v>0.06</v>
      </c>
      <c r="F1987" s="18">
        <v>7.0000000000000007E-2</v>
      </c>
      <c r="G1987" s="20" t="s">
        <v>2337</v>
      </c>
      <c r="H1987" s="19" t="str">
        <f>HYPERLINK("https://elefant.by/catalogue/510589650","Посмотреть на сайте ...")</f>
        <v>Посмотреть на сайте ...</v>
      </c>
    </row>
    <row r="1988" spans="1:8" s="16" customFormat="1" x14ac:dyDescent="0.25">
      <c r="A1988" s="17">
        <v>1978</v>
      </c>
      <c r="B1988" s="17" t="s">
        <v>583</v>
      </c>
      <c r="C1988" s="17" t="s">
        <v>2338</v>
      </c>
      <c r="D1988" s="18">
        <v>10</v>
      </c>
      <c r="E1988" s="18">
        <v>0.12</v>
      </c>
      <c r="F1988" s="18">
        <v>0.14000000000000001</v>
      </c>
      <c r="G1988" s="20" t="s">
        <v>2339</v>
      </c>
      <c r="H1988" s="19" t="str">
        <f>HYPERLINK("https://elefant.by/catalogue/510589649","Посмотреть на сайте ...")</f>
        <v>Посмотреть на сайте ...</v>
      </c>
    </row>
    <row r="1989" spans="1:8" s="16" customFormat="1" x14ac:dyDescent="0.25">
      <c r="A1989" s="17">
        <v>1979</v>
      </c>
      <c r="B1989" s="17" t="s">
        <v>583</v>
      </c>
      <c r="C1989" s="17" t="s">
        <v>2340</v>
      </c>
      <c r="D1989" s="18">
        <v>5</v>
      </c>
      <c r="E1989" s="18">
        <v>0.18</v>
      </c>
      <c r="F1989" s="18">
        <v>0.22</v>
      </c>
      <c r="G1989" s="20" t="s">
        <v>2341</v>
      </c>
      <c r="H1989" s="19" t="str">
        <f>HYPERLINK("https://elefant.by/catalogue/510589652","Посмотреть на сайте ...")</f>
        <v>Посмотреть на сайте ...</v>
      </c>
    </row>
    <row r="1990" spans="1:8" s="16" customFormat="1" x14ac:dyDescent="0.25">
      <c r="A1990" s="17">
        <v>1980</v>
      </c>
      <c r="B1990" s="17" t="s">
        <v>17</v>
      </c>
      <c r="C1990" s="17" t="s">
        <v>2350</v>
      </c>
      <c r="D1990" s="18">
        <v>36</v>
      </c>
      <c r="E1990" s="18">
        <v>0.43</v>
      </c>
      <c r="F1990" s="18">
        <v>0.52</v>
      </c>
      <c r="G1990" s="20" t="s">
        <v>2351</v>
      </c>
      <c r="H1990" s="19" t="str">
        <f>HYPERLINK("https://elefant.by/catalogue/502394900","Посмотреть на сайте ...")</f>
        <v>Посмотреть на сайте ...</v>
      </c>
    </row>
    <row r="1991" spans="1:8" s="16" customFormat="1" x14ac:dyDescent="0.25">
      <c r="A1991" s="17">
        <v>1981</v>
      </c>
      <c r="B1991" s="17" t="s">
        <v>17</v>
      </c>
      <c r="C1991" s="17" t="s">
        <v>2352</v>
      </c>
      <c r="D1991" s="18">
        <v>36</v>
      </c>
      <c r="E1991" s="18">
        <v>0.43</v>
      </c>
      <c r="F1991" s="18">
        <v>0.52</v>
      </c>
      <c r="G1991" s="20" t="s">
        <v>2353</v>
      </c>
      <c r="H1991" s="19" t="str">
        <f>HYPERLINK("https://elefant.by/catalogue/502394901","Посмотреть на сайте ...")</f>
        <v>Посмотреть на сайте ...</v>
      </c>
    </row>
    <row r="1992" spans="1:8" s="16" customFormat="1" x14ac:dyDescent="0.25">
      <c r="A1992" s="17">
        <v>1982</v>
      </c>
      <c r="B1992" s="17" t="s">
        <v>1921</v>
      </c>
      <c r="C1992" s="17" t="s">
        <v>2355</v>
      </c>
      <c r="D1992" s="18">
        <v>12</v>
      </c>
      <c r="E1992" s="18">
        <v>0.52</v>
      </c>
      <c r="F1992" s="18">
        <v>0.62</v>
      </c>
      <c r="G1992" s="20" t="s">
        <v>2356</v>
      </c>
      <c r="H1992" s="19" t="str">
        <f>HYPERLINK("https://elefant.by/catalogue/456425881","Посмотреть на сайте ...")</f>
        <v>Посмотреть на сайте ...</v>
      </c>
    </row>
    <row r="1993" spans="1:8" s="16" customFormat="1" x14ac:dyDescent="0.25">
      <c r="A1993" s="17">
        <v>1983</v>
      </c>
      <c r="B1993" s="17" t="s">
        <v>1921</v>
      </c>
      <c r="C1993" s="17" t="s">
        <v>3759</v>
      </c>
      <c r="D1993" s="18">
        <v>12</v>
      </c>
      <c r="E1993" s="18">
        <v>0.63</v>
      </c>
      <c r="F1993" s="18">
        <v>0.76</v>
      </c>
      <c r="G1993" s="20" t="s">
        <v>2354</v>
      </c>
      <c r="H1993" s="19" t="str">
        <f>HYPERLINK("https://elefant.by/catalogue/404634135","Посмотреть на сайте ...")</f>
        <v>Посмотреть на сайте ...</v>
      </c>
    </row>
    <row r="1994" spans="1:8" s="16" customFormat="1" x14ac:dyDescent="0.25">
      <c r="A1994" s="17">
        <v>1984</v>
      </c>
      <c r="B1994" s="17" t="s">
        <v>12</v>
      </c>
      <c r="C1994" s="17" t="s">
        <v>2363</v>
      </c>
      <c r="D1994" s="18">
        <v>10</v>
      </c>
      <c r="E1994" s="18">
        <v>0.09</v>
      </c>
      <c r="F1994" s="18">
        <v>0.11</v>
      </c>
      <c r="G1994" s="20" t="s">
        <v>2364</v>
      </c>
      <c r="H1994" s="19" t="str">
        <f>HYPERLINK("https://elefant.by/catalogue/539802619","Посмотреть на сайте ...")</f>
        <v>Посмотреть на сайте ...</v>
      </c>
    </row>
    <row r="1995" spans="1:8" s="16" customFormat="1" x14ac:dyDescent="0.25">
      <c r="A1995" s="17">
        <v>1985</v>
      </c>
      <c r="B1995" s="17" t="s">
        <v>12</v>
      </c>
      <c r="C1995" s="17" t="s">
        <v>3761</v>
      </c>
      <c r="D1995" s="18">
        <v>10</v>
      </c>
      <c r="E1995" s="18">
        <v>0.09</v>
      </c>
      <c r="F1995" s="18">
        <v>0.11</v>
      </c>
      <c r="G1995" s="20" t="s">
        <v>4815</v>
      </c>
      <c r="H1995" s="19" t="str">
        <f>HYPERLINK("https://elefant.by/catalogue/539802620","Посмотреть на сайте ...")</f>
        <v>Посмотреть на сайте ...</v>
      </c>
    </row>
    <row r="1996" spans="1:8" s="16" customFormat="1" x14ac:dyDescent="0.25">
      <c r="A1996" s="17">
        <v>1986</v>
      </c>
      <c r="B1996" s="17" t="s">
        <v>12</v>
      </c>
      <c r="C1996" s="17" t="s">
        <v>2365</v>
      </c>
      <c r="D1996" s="18">
        <v>10</v>
      </c>
      <c r="E1996" s="18">
        <v>0.09</v>
      </c>
      <c r="F1996" s="18">
        <v>0.11</v>
      </c>
      <c r="G1996" s="20" t="s">
        <v>2366</v>
      </c>
      <c r="H1996" s="19" t="str">
        <f>HYPERLINK("https://elefant.by/catalogue/539802622","Посмотреть на сайте ...")</f>
        <v>Посмотреть на сайте ...</v>
      </c>
    </row>
    <row r="1997" spans="1:8" s="16" customFormat="1" x14ac:dyDescent="0.25">
      <c r="A1997" s="17">
        <v>1987</v>
      </c>
      <c r="B1997" s="17" t="s">
        <v>12</v>
      </c>
      <c r="C1997" s="17" t="s">
        <v>2367</v>
      </c>
      <c r="D1997" s="18">
        <v>10</v>
      </c>
      <c r="E1997" s="18">
        <v>0.09</v>
      </c>
      <c r="F1997" s="18">
        <v>0.11</v>
      </c>
      <c r="G1997" s="20" t="s">
        <v>2368</v>
      </c>
      <c r="H1997" s="19" t="str">
        <f>HYPERLINK("https://elefant.by/catalogue/539802621","Посмотреть на сайте ...")</f>
        <v>Посмотреть на сайте ...</v>
      </c>
    </row>
    <row r="1998" spans="1:8" s="16" customFormat="1" x14ac:dyDescent="0.25">
      <c r="A1998" s="17">
        <v>1988</v>
      </c>
      <c r="B1998" s="17" t="s">
        <v>9</v>
      </c>
      <c r="C1998" s="17" t="s">
        <v>3760</v>
      </c>
      <c r="D1998" s="18">
        <v>100</v>
      </c>
      <c r="E1998" s="18">
        <v>0.45</v>
      </c>
      <c r="F1998" s="18">
        <v>0.54</v>
      </c>
      <c r="G1998" s="20" t="s">
        <v>4814</v>
      </c>
      <c r="H1998" s="19" t="str">
        <f>HYPERLINK("https://elefant.by/catalogue/435793396","Посмотреть на сайте ...")</f>
        <v>Посмотреть на сайте ...</v>
      </c>
    </row>
    <row r="1999" spans="1:8" s="16" customFormat="1" x14ac:dyDescent="0.25">
      <c r="A1999" s="17">
        <v>1989</v>
      </c>
      <c r="B1999" s="17" t="s">
        <v>9</v>
      </c>
      <c r="C1999" s="17" t="s">
        <v>2357</v>
      </c>
      <c r="D1999" s="18">
        <v>100</v>
      </c>
      <c r="E1999" s="18">
        <v>0.45</v>
      </c>
      <c r="F1999" s="18">
        <v>0.54</v>
      </c>
      <c r="G1999" s="20" t="s">
        <v>2358</v>
      </c>
      <c r="H1999" s="19" t="str">
        <f>HYPERLINK("https://elefant.by/catalogue/435793397","Посмотреть на сайте ...")</f>
        <v>Посмотреть на сайте ...</v>
      </c>
    </row>
    <row r="2000" spans="1:8" s="16" customFormat="1" x14ac:dyDescent="0.25">
      <c r="A2000" s="17">
        <v>1990</v>
      </c>
      <c r="B2000" s="17" t="s">
        <v>9</v>
      </c>
      <c r="C2000" s="17" t="s">
        <v>2359</v>
      </c>
      <c r="D2000" s="18">
        <v>100</v>
      </c>
      <c r="E2000" s="18">
        <v>0.45</v>
      </c>
      <c r="F2000" s="18">
        <v>0.54</v>
      </c>
      <c r="G2000" s="20" t="s">
        <v>2360</v>
      </c>
      <c r="H2000" s="19" t="str">
        <f>HYPERLINK("https://elefant.by/catalogue/435793398","Посмотреть на сайте ...")</f>
        <v>Посмотреть на сайте ...</v>
      </c>
    </row>
    <row r="2001" spans="1:8" s="16" customFormat="1" x14ac:dyDescent="0.25">
      <c r="A2001" s="17">
        <v>1991</v>
      </c>
      <c r="B2001" s="17" t="s">
        <v>9</v>
      </c>
      <c r="C2001" s="17" t="s">
        <v>2361</v>
      </c>
      <c r="D2001" s="18">
        <v>100</v>
      </c>
      <c r="E2001" s="18">
        <v>0.45</v>
      </c>
      <c r="F2001" s="18">
        <v>0.54</v>
      </c>
      <c r="G2001" s="20" t="s">
        <v>2362</v>
      </c>
      <c r="H2001" s="19" t="str">
        <f>HYPERLINK("https://elefant.by/catalogue/435793399","Посмотреть на сайте ...")</f>
        <v>Посмотреть на сайте ...</v>
      </c>
    </row>
    <row r="2002" spans="1:8" s="16" customFormat="1" x14ac:dyDescent="0.25">
      <c r="A2002" s="17">
        <v>1992</v>
      </c>
      <c r="B2002" s="17" t="s">
        <v>24</v>
      </c>
      <c r="C2002" s="17" t="s">
        <v>2369</v>
      </c>
      <c r="D2002" s="18">
        <v>100</v>
      </c>
      <c r="E2002" s="18">
        <v>0.09</v>
      </c>
      <c r="F2002" s="18">
        <v>0.11</v>
      </c>
      <c r="G2002" s="20" t="s">
        <v>2370</v>
      </c>
      <c r="H2002" s="19" t="str">
        <f>HYPERLINK("https://elefant.by/catalogue/147126849","Посмотреть на сайте ...")</f>
        <v>Посмотреть на сайте ...</v>
      </c>
    </row>
    <row r="2003" spans="1:8" s="16" customFormat="1" x14ac:dyDescent="0.25">
      <c r="A2003" s="17">
        <v>1993</v>
      </c>
      <c r="B2003" s="17" t="s">
        <v>24</v>
      </c>
      <c r="C2003" s="17" t="s">
        <v>2371</v>
      </c>
      <c r="D2003" s="18">
        <v>100</v>
      </c>
      <c r="E2003" s="18">
        <v>0.09</v>
      </c>
      <c r="F2003" s="18">
        <v>0.11</v>
      </c>
      <c r="G2003" s="20" t="s">
        <v>2372</v>
      </c>
      <c r="H2003" s="19" t="str">
        <f>HYPERLINK("https://elefant.by/catalogue/147109698","Посмотреть на сайте ...")</f>
        <v>Посмотреть на сайте ...</v>
      </c>
    </row>
    <row r="2004" spans="1:8" s="16" customFormat="1" x14ac:dyDescent="0.25">
      <c r="A2004" s="17">
        <v>1994</v>
      </c>
      <c r="B2004" s="17" t="s">
        <v>24</v>
      </c>
      <c r="C2004" s="17" t="s">
        <v>2373</v>
      </c>
      <c r="D2004" s="18">
        <v>100</v>
      </c>
      <c r="E2004" s="18">
        <v>0.12</v>
      </c>
      <c r="F2004" s="18">
        <v>0.14000000000000001</v>
      </c>
      <c r="G2004" s="20" t="s">
        <v>2374</v>
      </c>
      <c r="H2004" s="19" t="str">
        <f>HYPERLINK("https://elefant.by/catalogue/147111089","Посмотреть на сайте ...")</f>
        <v>Посмотреть на сайте ...</v>
      </c>
    </row>
    <row r="2005" spans="1:8" s="16" customFormat="1" x14ac:dyDescent="0.25">
      <c r="A2005" s="17">
        <v>1995</v>
      </c>
      <c r="B2005" s="17" t="s">
        <v>24</v>
      </c>
      <c r="C2005" s="17" t="s">
        <v>2375</v>
      </c>
      <c r="D2005" s="18">
        <v>30</v>
      </c>
      <c r="E2005" s="18">
        <v>0.66</v>
      </c>
      <c r="F2005" s="18">
        <v>0.79</v>
      </c>
      <c r="G2005" s="20" t="s">
        <v>2376</v>
      </c>
      <c r="H2005" s="19" t="str">
        <f>HYPERLINK("https://elefant.by/catalogue/150692682","Посмотреть на сайте ...")</f>
        <v>Посмотреть на сайте ...</v>
      </c>
    </row>
    <row r="2006" spans="1:8" s="16" customFormat="1" x14ac:dyDescent="0.25">
      <c r="A2006" s="17">
        <v>1996</v>
      </c>
      <c r="B2006" s="17" t="s">
        <v>24</v>
      </c>
      <c r="C2006" s="17" t="s">
        <v>2377</v>
      </c>
      <c r="D2006" s="18">
        <v>30</v>
      </c>
      <c r="E2006" s="18">
        <v>0.42</v>
      </c>
      <c r="F2006" s="18">
        <v>0.5</v>
      </c>
      <c r="G2006" s="20" t="s">
        <v>2378</v>
      </c>
      <c r="H2006" s="19" t="str">
        <f>HYPERLINK("https://elefant.by/catalogue/147108916","Посмотреть на сайте ...")</f>
        <v>Посмотреть на сайте ...</v>
      </c>
    </row>
    <row r="2007" spans="1:8" s="16" customFormat="1" x14ac:dyDescent="0.25">
      <c r="A2007" s="17">
        <v>1997</v>
      </c>
      <c r="B2007" s="17" t="s">
        <v>24</v>
      </c>
      <c r="C2007" s="17" t="s">
        <v>2379</v>
      </c>
      <c r="D2007" s="18">
        <v>30</v>
      </c>
      <c r="E2007" s="18">
        <v>0.66</v>
      </c>
      <c r="F2007" s="18">
        <v>0.79</v>
      </c>
      <c r="G2007" s="20" t="s">
        <v>4816</v>
      </c>
      <c r="H2007" s="19" t="str">
        <f>HYPERLINK("https://elefant.by/catalogue/149670321","Посмотреть на сайте ...")</f>
        <v>Посмотреть на сайте ...</v>
      </c>
    </row>
    <row r="2008" spans="1:8" s="16" customFormat="1" x14ac:dyDescent="0.25">
      <c r="A2008" s="17">
        <v>1998</v>
      </c>
      <c r="B2008" s="17" t="s">
        <v>24</v>
      </c>
      <c r="C2008" s="17" t="s">
        <v>2380</v>
      </c>
      <c r="D2008" s="18">
        <v>30</v>
      </c>
      <c r="E2008" s="18">
        <v>0.42</v>
      </c>
      <c r="F2008" s="18">
        <v>0.5</v>
      </c>
      <c r="G2008" s="20" t="s">
        <v>2381</v>
      </c>
      <c r="H2008" s="19" t="str">
        <f>HYPERLINK("https://elefant.by/catalogue/147399412","Посмотреть на сайте ...")</f>
        <v>Посмотреть на сайте ...</v>
      </c>
    </row>
    <row r="2009" spans="1:8" s="16" customFormat="1" x14ac:dyDescent="0.25">
      <c r="A2009" s="17">
        <v>1999</v>
      </c>
      <c r="B2009" s="17" t="s">
        <v>17</v>
      </c>
      <c r="C2009" s="17" t="s">
        <v>3762</v>
      </c>
      <c r="D2009" s="18">
        <v>100</v>
      </c>
      <c r="E2009" s="18">
        <v>0.33</v>
      </c>
      <c r="F2009" s="18">
        <v>0.4</v>
      </c>
      <c r="G2009" s="20" t="s">
        <v>4817</v>
      </c>
      <c r="H2009" s="19" t="str">
        <f>HYPERLINK("https://elefant.by/catalogue/695249397","Посмотреть на сайте ...")</f>
        <v>Посмотреть на сайте ...</v>
      </c>
    </row>
    <row r="2010" spans="1:8" s="16" customFormat="1" x14ac:dyDescent="0.25">
      <c r="A2010" s="17">
        <v>2000</v>
      </c>
      <c r="B2010" s="17" t="s">
        <v>3109</v>
      </c>
      <c r="C2010" s="17" t="s">
        <v>3763</v>
      </c>
      <c r="D2010" s="18">
        <v>10</v>
      </c>
      <c r="E2010" s="18">
        <v>0.3</v>
      </c>
      <c r="F2010" s="18">
        <v>0.36</v>
      </c>
      <c r="G2010" s="20" t="s">
        <v>4818</v>
      </c>
      <c r="H2010" s="19" t="str">
        <f>HYPERLINK("https://elefant.by/catalogue/651736005","Посмотреть на сайте ...")</f>
        <v>Посмотреть на сайте ...</v>
      </c>
    </row>
    <row r="2011" spans="1:8" s="16" customFormat="1" x14ac:dyDescent="0.25">
      <c r="A2011" s="17">
        <v>2001</v>
      </c>
      <c r="B2011" s="17" t="s">
        <v>9</v>
      </c>
      <c r="C2011" s="17" t="s">
        <v>3764</v>
      </c>
      <c r="D2011" s="18">
        <v>100</v>
      </c>
      <c r="E2011" s="18">
        <v>0.14000000000000001</v>
      </c>
      <c r="F2011" s="18">
        <v>0.17</v>
      </c>
      <c r="G2011" s="20" t="s">
        <v>4819</v>
      </c>
      <c r="H2011" s="19" t="str">
        <f>HYPERLINK("https://elefant.by/catalogue/650438825","Посмотреть на сайте ...")</f>
        <v>Посмотреть на сайте ...</v>
      </c>
    </row>
    <row r="2012" spans="1:8" s="16" customFormat="1" x14ac:dyDescent="0.25">
      <c r="A2012" s="17">
        <v>2002</v>
      </c>
      <c r="B2012" s="17" t="s">
        <v>9</v>
      </c>
      <c r="C2012" s="17" t="s">
        <v>2382</v>
      </c>
      <c r="D2012" s="18">
        <v>100</v>
      </c>
      <c r="E2012" s="18">
        <v>0.14000000000000001</v>
      </c>
      <c r="F2012" s="18">
        <v>0.17</v>
      </c>
      <c r="G2012" s="20" t="s">
        <v>2383</v>
      </c>
      <c r="H2012" s="19" t="str">
        <f>HYPERLINK("https://elefant.by/catalogue/174499770","Посмотреть на сайте ...")</f>
        <v>Посмотреть на сайте ...</v>
      </c>
    </row>
    <row r="2013" spans="1:8" s="16" customFormat="1" x14ac:dyDescent="0.25">
      <c r="A2013" s="17">
        <v>2003</v>
      </c>
      <c r="B2013" s="17" t="s">
        <v>9</v>
      </c>
      <c r="C2013" s="17" t="s">
        <v>2384</v>
      </c>
      <c r="D2013" s="18">
        <v>100</v>
      </c>
      <c r="E2013" s="18">
        <v>0.14000000000000001</v>
      </c>
      <c r="F2013" s="18">
        <v>0.17</v>
      </c>
      <c r="G2013" s="20" t="s">
        <v>2385</v>
      </c>
      <c r="H2013" s="19" t="str">
        <f>HYPERLINK("https://elefant.by/catalogue/173937447","Посмотреть на сайте ...")</f>
        <v>Посмотреть на сайте ...</v>
      </c>
    </row>
    <row r="2014" spans="1:8" s="16" customFormat="1" x14ac:dyDescent="0.25">
      <c r="A2014" s="17">
        <v>2004</v>
      </c>
      <c r="B2014" s="17" t="s">
        <v>9</v>
      </c>
      <c r="C2014" s="17" t="s">
        <v>2386</v>
      </c>
      <c r="D2014" s="18">
        <v>100</v>
      </c>
      <c r="E2014" s="18">
        <v>0.14000000000000001</v>
      </c>
      <c r="F2014" s="18">
        <v>0.17</v>
      </c>
      <c r="G2014" s="20" t="s">
        <v>2387</v>
      </c>
      <c r="H2014" s="19" t="str">
        <f>HYPERLINK("https://elefant.by/catalogue/175508168","Посмотреть на сайте ...")</f>
        <v>Посмотреть на сайте ...</v>
      </c>
    </row>
    <row r="2015" spans="1:8" s="16" customFormat="1" x14ac:dyDescent="0.25">
      <c r="A2015" s="17">
        <v>2005</v>
      </c>
      <c r="B2015" s="17" t="s">
        <v>9</v>
      </c>
      <c r="C2015" s="17" t="s">
        <v>2388</v>
      </c>
      <c r="D2015" s="18">
        <v>150</v>
      </c>
      <c r="E2015" s="18">
        <v>0.34</v>
      </c>
      <c r="F2015" s="18">
        <v>0.41</v>
      </c>
      <c r="G2015" s="20" t="s">
        <v>2389</v>
      </c>
      <c r="H2015" s="19" t="str">
        <f>HYPERLINK("https://elefant.by/catalogue/169345160","Посмотреть на сайте ...")</f>
        <v>Посмотреть на сайте ...</v>
      </c>
    </row>
    <row r="2016" spans="1:8" s="16" customFormat="1" x14ac:dyDescent="0.25">
      <c r="A2016" s="17">
        <v>2006</v>
      </c>
      <c r="B2016" s="17" t="s">
        <v>9</v>
      </c>
      <c r="C2016" s="17" t="s">
        <v>3765</v>
      </c>
      <c r="D2016" s="18">
        <v>100</v>
      </c>
      <c r="E2016" s="18">
        <v>0.32</v>
      </c>
      <c r="F2016" s="18">
        <v>0.38</v>
      </c>
      <c r="G2016" s="20" t="s">
        <v>4820</v>
      </c>
      <c r="H2016" s="19" t="str">
        <f>HYPERLINK("https://elefant.by/catalogue/661335825","Посмотреть на сайте ...")</f>
        <v>Посмотреть на сайте ...</v>
      </c>
    </row>
    <row r="2017" spans="1:8" s="16" customFormat="1" x14ac:dyDescent="0.25">
      <c r="A2017" s="17">
        <v>2007</v>
      </c>
      <c r="B2017" s="17" t="s">
        <v>9</v>
      </c>
      <c r="C2017" s="17" t="s">
        <v>3766</v>
      </c>
      <c r="D2017" s="18">
        <v>100</v>
      </c>
      <c r="E2017" s="18">
        <v>0.19</v>
      </c>
      <c r="F2017" s="18">
        <v>0.23</v>
      </c>
      <c r="G2017" s="20" t="s">
        <v>4821</v>
      </c>
      <c r="H2017" s="19" t="str">
        <f>HYPERLINK("https://elefant.by/catalogue/651440572","Посмотреть на сайте ...")</f>
        <v>Посмотреть на сайте ...</v>
      </c>
    </row>
    <row r="2018" spans="1:8" s="16" customFormat="1" x14ac:dyDescent="0.25">
      <c r="A2018" s="17">
        <v>2008</v>
      </c>
      <c r="B2018" s="17" t="s">
        <v>12</v>
      </c>
      <c r="C2018" s="17" t="s">
        <v>2390</v>
      </c>
      <c r="D2018" s="18">
        <v>10</v>
      </c>
      <c r="E2018" s="18">
        <v>1.44</v>
      </c>
      <c r="F2018" s="18">
        <v>1.73</v>
      </c>
      <c r="G2018" s="20" t="s">
        <v>2391</v>
      </c>
      <c r="H2018" s="19" t="str">
        <f>HYPERLINK("https://elefant.by/catalogue/593477438","Посмотреть на сайте ...")</f>
        <v>Посмотреть на сайте ...</v>
      </c>
    </row>
    <row r="2019" spans="1:8" s="16" customFormat="1" x14ac:dyDescent="0.25">
      <c r="A2019" s="17">
        <v>2009</v>
      </c>
      <c r="B2019" s="17" t="s">
        <v>24</v>
      </c>
      <c r="C2019" s="17" t="s">
        <v>2392</v>
      </c>
      <c r="D2019" s="18">
        <v>12</v>
      </c>
      <c r="E2019" s="18">
        <v>1.19</v>
      </c>
      <c r="F2019" s="18">
        <v>1.43</v>
      </c>
      <c r="G2019" s="20" t="s">
        <v>2393</v>
      </c>
      <c r="H2019" s="19" t="str">
        <f>HYPERLINK("https://elefant.by/catalogue/370640696","Посмотреть на сайте ...")</f>
        <v>Посмотреть на сайте ...</v>
      </c>
    </row>
    <row r="2020" spans="1:8" s="16" customFormat="1" x14ac:dyDescent="0.25">
      <c r="A2020" s="17">
        <v>2010</v>
      </c>
      <c r="B2020" s="17" t="s">
        <v>9</v>
      </c>
      <c r="C2020" s="17" t="s">
        <v>2394</v>
      </c>
      <c r="D2020" s="18">
        <v>32</v>
      </c>
      <c r="E2020" s="18">
        <v>1.04</v>
      </c>
      <c r="F2020" s="18">
        <v>1.25</v>
      </c>
      <c r="G2020" s="20" t="s">
        <v>2395</v>
      </c>
      <c r="H2020" s="19" t="str">
        <f>HYPERLINK("https://elefant.by/catalogue/154850418","Посмотреть на сайте ...")</f>
        <v>Посмотреть на сайте ...</v>
      </c>
    </row>
    <row r="2021" spans="1:8" s="16" customFormat="1" x14ac:dyDescent="0.25">
      <c r="A2021" s="17">
        <v>2011</v>
      </c>
      <c r="B2021" s="17" t="s">
        <v>24</v>
      </c>
      <c r="C2021" s="17" t="s">
        <v>2396</v>
      </c>
      <c r="D2021" s="18">
        <v>12</v>
      </c>
      <c r="E2021" s="18">
        <v>0.65</v>
      </c>
      <c r="F2021" s="18">
        <v>0.78</v>
      </c>
      <c r="G2021" s="20" t="s">
        <v>2397</v>
      </c>
      <c r="H2021" s="19" t="str">
        <f>HYPERLINK("https://elefant.by/catalogue/147108169","Посмотреть на сайте ...")</f>
        <v>Посмотреть на сайте ...</v>
      </c>
    </row>
    <row r="2022" spans="1:8" s="16" customFormat="1" x14ac:dyDescent="0.25">
      <c r="A2022" s="17">
        <v>2012</v>
      </c>
      <c r="B2022" s="17" t="s">
        <v>24</v>
      </c>
      <c r="C2022" s="17" t="s">
        <v>2398</v>
      </c>
      <c r="D2022" s="18">
        <v>12</v>
      </c>
      <c r="E2022" s="18">
        <v>0.65</v>
      </c>
      <c r="F2022" s="18">
        <v>0.78</v>
      </c>
      <c r="G2022" s="20" t="s">
        <v>2399</v>
      </c>
      <c r="H2022" s="19" t="str">
        <f>HYPERLINK("https://elefant.by/catalogue/147108284","Посмотреть на сайте ...")</f>
        <v>Посмотреть на сайте ...</v>
      </c>
    </row>
    <row r="2023" spans="1:8" s="16" customFormat="1" x14ac:dyDescent="0.25">
      <c r="A2023" s="17">
        <v>2013</v>
      </c>
      <c r="B2023" s="17" t="s">
        <v>24</v>
      </c>
      <c r="C2023" s="17" t="s">
        <v>2400</v>
      </c>
      <c r="D2023" s="18">
        <v>12</v>
      </c>
      <c r="E2023" s="18">
        <v>0.65</v>
      </c>
      <c r="F2023" s="18">
        <v>0.78</v>
      </c>
      <c r="G2023" s="20" t="s">
        <v>2401</v>
      </c>
      <c r="H2023" s="19" t="str">
        <f>HYPERLINK("https://elefant.by/catalogue/159520493","Посмотреть на сайте ...")</f>
        <v>Посмотреть на сайте ...</v>
      </c>
    </row>
    <row r="2024" spans="1:8" s="16" customFormat="1" x14ac:dyDescent="0.25">
      <c r="A2024" s="17">
        <v>2014</v>
      </c>
      <c r="B2024" s="17" t="s">
        <v>24</v>
      </c>
      <c r="C2024" s="17" t="s">
        <v>2402</v>
      </c>
      <c r="D2024" s="18">
        <v>12</v>
      </c>
      <c r="E2024" s="18">
        <v>0.65</v>
      </c>
      <c r="F2024" s="18">
        <v>0.78</v>
      </c>
      <c r="G2024" s="20" t="s">
        <v>2403</v>
      </c>
      <c r="H2024" s="19" t="str">
        <f>HYPERLINK("https://elefant.by/catalogue/147108398","Посмотреть на сайте ...")</f>
        <v>Посмотреть на сайте ...</v>
      </c>
    </row>
    <row r="2025" spans="1:8" s="16" customFormat="1" x14ac:dyDescent="0.25">
      <c r="A2025" s="17">
        <v>2015</v>
      </c>
      <c r="B2025" s="17" t="s">
        <v>24</v>
      </c>
      <c r="C2025" s="17" t="s">
        <v>2404</v>
      </c>
      <c r="D2025" s="18">
        <v>12</v>
      </c>
      <c r="E2025" s="18">
        <v>0.65</v>
      </c>
      <c r="F2025" s="18">
        <v>0.78</v>
      </c>
      <c r="G2025" s="20" t="s">
        <v>2405</v>
      </c>
      <c r="H2025" s="19" t="str">
        <f>HYPERLINK("https://elefant.by/catalogue/147108197","Посмотреть на сайте ...")</f>
        <v>Посмотреть на сайте ...</v>
      </c>
    </row>
    <row r="2026" spans="1:8" s="16" customFormat="1" x14ac:dyDescent="0.25">
      <c r="A2026" s="17">
        <v>2016</v>
      </c>
      <c r="B2026" s="17" t="s">
        <v>24</v>
      </c>
      <c r="C2026" s="17" t="s">
        <v>2406</v>
      </c>
      <c r="D2026" s="18">
        <v>12</v>
      </c>
      <c r="E2026" s="18">
        <v>1.0900000000000001</v>
      </c>
      <c r="F2026" s="18">
        <v>1.31</v>
      </c>
      <c r="G2026" s="20" t="s">
        <v>2407</v>
      </c>
      <c r="H2026" s="19" t="str">
        <f>HYPERLINK("https://elefant.by/catalogue/199437357","Посмотреть на сайте ...")</f>
        <v>Посмотреть на сайте ...</v>
      </c>
    </row>
    <row r="2027" spans="1:8" s="16" customFormat="1" x14ac:dyDescent="0.25">
      <c r="A2027" s="17">
        <v>2017</v>
      </c>
      <c r="B2027" s="17" t="s">
        <v>24</v>
      </c>
      <c r="C2027" s="17" t="s">
        <v>2408</v>
      </c>
      <c r="D2027" s="18">
        <v>12</v>
      </c>
      <c r="E2027" s="18">
        <v>1.0900000000000001</v>
      </c>
      <c r="F2027" s="18">
        <v>1.31</v>
      </c>
      <c r="G2027" s="20" t="s">
        <v>2409</v>
      </c>
      <c r="H2027" s="19" t="str">
        <f>HYPERLINK("https://elefant.by/catalogue/165027291","Посмотреть на сайте ...")</f>
        <v>Посмотреть на сайте ...</v>
      </c>
    </row>
    <row r="2028" spans="1:8" s="16" customFormat="1" x14ac:dyDescent="0.25">
      <c r="A2028" s="17">
        <v>2018</v>
      </c>
      <c r="B2028" s="17" t="s">
        <v>24</v>
      </c>
      <c r="C2028" s="17" t="s">
        <v>2410</v>
      </c>
      <c r="D2028" s="18">
        <v>12</v>
      </c>
      <c r="E2028" s="18">
        <v>1.0900000000000001</v>
      </c>
      <c r="F2028" s="18">
        <v>1.31</v>
      </c>
      <c r="G2028" s="20" t="s">
        <v>2411</v>
      </c>
      <c r="H2028" s="19" t="str">
        <f>HYPERLINK("https://elefant.by/catalogue/147399339","Посмотреть на сайте ...")</f>
        <v>Посмотреть на сайте ...</v>
      </c>
    </row>
    <row r="2029" spans="1:8" s="16" customFormat="1" x14ac:dyDescent="0.25">
      <c r="A2029" s="17">
        <v>2019</v>
      </c>
      <c r="B2029" s="17" t="s">
        <v>24</v>
      </c>
      <c r="C2029" s="17" t="s">
        <v>2412</v>
      </c>
      <c r="D2029" s="18">
        <v>12</v>
      </c>
      <c r="E2029" s="18">
        <v>1.0900000000000001</v>
      </c>
      <c r="F2029" s="18">
        <v>1.31</v>
      </c>
      <c r="G2029" s="20" t="s">
        <v>2413</v>
      </c>
      <c r="H2029" s="19" t="str">
        <f>HYPERLINK("https://elefant.by/catalogue/147109791","Посмотреть на сайте ...")</f>
        <v>Посмотреть на сайте ...</v>
      </c>
    </row>
    <row r="2030" spans="1:8" s="16" customFormat="1" x14ac:dyDescent="0.25">
      <c r="A2030" s="17">
        <v>2020</v>
      </c>
      <c r="B2030" s="17" t="s">
        <v>24</v>
      </c>
      <c r="C2030" s="17" t="s">
        <v>2414</v>
      </c>
      <c r="D2030" s="18">
        <v>12</v>
      </c>
      <c r="E2030" s="18">
        <v>1.19</v>
      </c>
      <c r="F2030" s="18">
        <v>1.43</v>
      </c>
      <c r="G2030" s="20" t="s">
        <v>2415</v>
      </c>
      <c r="H2030" s="19" t="str">
        <f>HYPERLINK("https://elefant.by/catalogue/147108904","Посмотреть на сайте ...")</f>
        <v>Посмотреть на сайте ...</v>
      </c>
    </row>
    <row r="2031" spans="1:8" s="16" customFormat="1" x14ac:dyDescent="0.25">
      <c r="A2031" s="17">
        <v>2021</v>
      </c>
      <c r="B2031" s="17" t="s">
        <v>9</v>
      </c>
      <c r="C2031" s="17" t="s">
        <v>2416</v>
      </c>
      <c r="D2031" s="18">
        <v>50</v>
      </c>
      <c r="E2031" s="18">
        <v>1.03</v>
      </c>
      <c r="F2031" s="18">
        <v>1.24</v>
      </c>
      <c r="G2031" s="20" t="s">
        <v>2417</v>
      </c>
      <c r="H2031" s="19" t="str">
        <f>HYPERLINK("https://elefant.by/catalogue/186796896","Посмотреть на сайте ...")</f>
        <v>Посмотреть на сайте ...</v>
      </c>
    </row>
    <row r="2032" spans="1:8" s="16" customFormat="1" x14ac:dyDescent="0.25">
      <c r="A2032" s="17">
        <v>2022</v>
      </c>
      <c r="B2032" s="17" t="s">
        <v>24</v>
      </c>
      <c r="C2032" s="17" t="s">
        <v>2418</v>
      </c>
      <c r="D2032" s="18">
        <v>12</v>
      </c>
      <c r="E2032" s="18">
        <v>2.82</v>
      </c>
      <c r="F2032" s="18">
        <v>3.38</v>
      </c>
      <c r="G2032" s="20" t="s">
        <v>2419</v>
      </c>
      <c r="H2032" s="19" t="str">
        <f>HYPERLINK("https://elefant.by/catalogue/147108347","Посмотреть на сайте ...")</f>
        <v>Посмотреть на сайте ...</v>
      </c>
    </row>
    <row r="2033" spans="1:8" s="16" customFormat="1" x14ac:dyDescent="0.25">
      <c r="A2033" s="17">
        <v>2023</v>
      </c>
      <c r="B2033" s="17" t="s">
        <v>24</v>
      </c>
      <c r="C2033" s="17" t="s">
        <v>2420</v>
      </c>
      <c r="D2033" s="18">
        <v>12</v>
      </c>
      <c r="E2033" s="18">
        <v>4.24</v>
      </c>
      <c r="F2033" s="18">
        <v>5.09</v>
      </c>
      <c r="G2033" s="20" t="s">
        <v>2421</v>
      </c>
      <c r="H2033" s="19" t="str">
        <f>HYPERLINK("https://elefant.by/catalogue/440404101","Посмотреть на сайте ...")</f>
        <v>Посмотреть на сайте ...</v>
      </c>
    </row>
    <row r="2034" spans="1:8" s="16" customFormat="1" x14ac:dyDescent="0.25">
      <c r="A2034" s="17">
        <v>2024</v>
      </c>
      <c r="B2034" s="17" t="s">
        <v>24</v>
      </c>
      <c r="C2034" s="17" t="s">
        <v>2422</v>
      </c>
      <c r="D2034" s="18">
        <v>10</v>
      </c>
      <c r="E2034" s="18">
        <v>1.28</v>
      </c>
      <c r="F2034" s="18">
        <v>1.54</v>
      </c>
      <c r="G2034" s="20" t="s">
        <v>2423</v>
      </c>
      <c r="H2034" s="19" t="str">
        <f>HYPERLINK("https://elefant.by/catalogue/178796931","Посмотреть на сайте ...")</f>
        <v>Посмотреть на сайте ...</v>
      </c>
    </row>
    <row r="2035" spans="1:8" s="16" customFormat="1" x14ac:dyDescent="0.25">
      <c r="A2035" s="17">
        <v>2025</v>
      </c>
      <c r="B2035" s="17" t="s">
        <v>24</v>
      </c>
      <c r="C2035" s="17" t="s">
        <v>3767</v>
      </c>
      <c r="D2035" s="18">
        <v>30</v>
      </c>
      <c r="E2035" s="18">
        <v>0.82</v>
      </c>
      <c r="F2035" s="18">
        <v>0.98</v>
      </c>
      <c r="G2035" s="20" t="s">
        <v>4822</v>
      </c>
      <c r="H2035" s="19" t="str">
        <f>HYPERLINK("https://elefant.by/catalogue/180480574","Посмотреть на сайте ...")</f>
        <v>Посмотреть на сайте ...</v>
      </c>
    </row>
    <row r="2036" spans="1:8" s="16" customFormat="1" x14ac:dyDescent="0.25">
      <c r="A2036" s="17">
        <v>2026</v>
      </c>
      <c r="B2036" s="17" t="s">
        <v>9</v>
      </c>
      <c r="C2036" s="17" t="s">
        <v>2424</v>
      </c>
      <c r="D2036" s="18">
        <v>12</v>
      </c>
      <c r="E2036" s="18">
        <v>1.87</v>
      </c>
      <c r="F2036" s="18">
        <v>2.2400000000000002</v>
      </c>
      <c r="G2036" s="20" t="s">
        <v>2425</v>
      </c>
      <c r="H2036" s="19" t="str">
        <f>HYPERLINK("https://elefant.by/catalogue/180728595","Посмотреть на сайте ...")</f>
        <v>Посмотреть на сайте ...</v>
      </c>
    </row>
    <row r="2037" spans="1:8" s="16" customFormat="1" x14ac:dyDescent="0.25">
      <c r="A2037" s="17">
        <v>2027</v>
      </c>
      <c r="B2037" s="17" t="s">
        <v>9</v>
      </c>
      <c r="C2037" s="17" t="s">
        <v>2426</v>
      </c>
      <c r="D2037" s="18">
        <v>12</v>
      </c>
      <c r="E2037" s="18">
        <v>1.81</v>
      </c>
      <c r="F2037" s="18">
        <v>2.17</v>
      </c>
      <c r="G2037" s="20" t="s">
        <v>2427</v>
      </c>
      <c r="H2037" s="19" t="str">
        <f>HYPERLINK("https://elefant.by/catalogue/631312715","Посмотреть на сайте ...")</f>
        <v>Посмотреть на сайте ...</v>
      </c>
    </row>
    <row r="2038" spans="1:8" s="16" customFormat="1" x14ac:dyDescent="0.25">
      <c r="A2038" s="17">
        <v>2028</v>
      </c>
      <c r="B2038" s="17" t="s">
        <v>12</v>
      </c>
      <c r="C2038" s="17" t="s">
        <v>2428</v>
      </c>
      <c r="D2038" s="18">
        <v>12</v>
      </c>
      <c r="E2038" s="18">
        <v>1.08</v>
      </c>
      <c r="F2038" s="18">
        <v>1.3</v>
      </c>
      <c r="G2038" s="20" t="s">
        <v>2429</v>
      </c>
      <c r="H2038" s="19" t="str">
        <f>HYPERLINK("https://elefant.by/catalogue/452511397","Посмотреть на сайте ...")</f>
        <v>Посмотреть на сайте ...</v>
      </c>
    </row>
    <row r="2039" spans="1:8" s="16" customFormat="1" x14ac:dyDescent="0.25">
      <c r="A2039" s="17">
        <v>2029</v>
      </c>
      <c r="B2039" s="17" t="s">
        <v>20</v>
      </c>
      <c r="C2039" s="17" t="s">
        <v>3768</v>
      </c>
      <c r="D2039" s="18">
        <v>3</v>
      </c>
      <c r="E2039" s="18">
        <v>4.16</v>
      </c>
      <c r="F2039" s="18">
        <v>4.99</v>
      </c>
      <c r="G2039" s="20" t="s">
        <v>4823</v>
      </c>
      <c r="H2039" s="19" t="str">
        <f>HYPERLINK("https://elefant.by/catalogue/661475045","Посмотреть на сайте ...")</f>
        <v>Посмотреть на сайте ...</v>
      </c>
    </row>
    <row r="2040" spans="1:8" s="16" customFormat="1" x14ac:dyDescent="0.25">
      <c r="A2040" s="17">
        <v>2030</v>
      </c>
      <c r="B2040" s="17" t="s">
        <v>20</v>
      </c>
      <c r="C2040" s="17" t="s">
        <v>3769</v>
      </c>
      <c r="D2040" s="18">
        <v>3</v>
      </c>
      <c r="E2040" s="18">
        <v>4.93</v>
      </c>
      <c r="F2040" s="18">
        <v>5.92</v>
      </c>
      <c r="G2040" s="20" t="s">
        <v>4824</v>
      </c>
      <c r="H2040" s="19" t="str">
        <f>HYPERLINK("https://elefant.by/catalogue/648703815","Посмотреть на сайте ...")</f>
        <v>Посмотреть на сайте ...</v>
      </c>
    </row>
    <row r="2041" spans="1:8" s="16" customFormat="1" x14ac:dyDescent="0.25">
      <c r="A2041" s="17">
        <v>2031</v>
      </c>
      <c r="B2041" s="17" t="s">
        <v>20</v>
      </c>
      <c r="C2041" s="17" t="s">
        <v>3770</v>
      </c>
      <c r="D2041" s="18">
        <v>3</v>
      </c>
      <c r="E2041" s="18">
        <v>4.93</v>
      </c>
      <c r="F2041" s="18">
        <v>5.92</v>
      </c>
      <c r="G2041" s="20" t="s">
        <v>4825</v>
      </c>
      <c r="H2041" s="19" t="str">
        <f>HYPERLINK("https://elefant.by/catalogue/648449929","Посмотреть на сайте ...")</f>
        <v>Посмотреть на сайте ...</v>
      </c>
    </row>
    <row r="2042" spans="1:8" s="16" customFormat="1" x14ac:dyDescent="0.25">
      <c r="A2042" s="17">
        <v>2032</v>
      </c>
      <c r="B2042" s="17" t="s">
        <v>87</v>
      </c>
      <c r="C2042" s="17" t="s">
        <v>3771</v>
      </c>
      <c r="D2042" s="18">
        <v>100</v>
      </c>
      <c r="E2042" s="18">
        <v>0.7</v>
      </c>
      <c r="F2042" s="18">
        <v>0.77</v>
      </c>
      <c r="G2042" s="20" t="s">
        <v>4826</v>
      </c>
      <c r="H2042" s="19" t="str">
        <f>HYPERLINK("https://elefant.by/catalogue/648835717","Посмотреть на сайте ...")</f>
        <v>Посмотреть на сайте ...</v>
      </c>
    </row>
    <row r="2043" spans="1:8" s="16" customFormat="1" x14ac:dyDescent="0.25">
      <c r="A2043" s="17">
        <v>2033</v>
      </c>
      <c r="B2043" s="17" t="s">
        <v>87</v>
      </c>
      <c r="C2043" s="17" t="s">
        <v>2430</v>
      </c>
      <c r="D2043" s="18">
        <v>100</v>
      </c>
      <c r="E2043" s="18">
        <v>0.67</v>
      </c>
      <c r="F2043" s="18">
        <v>0.74</v>
      </c>
      <c r="G2043" s="20" t="s">
        <v>2431</v>
      </c>
      <c r="H2043" s="19" t="str">
        <f>HYPERLINK("https://elefant.by/catalogue/592731757","Посмотреть на сайте ...")</f>
        <v>Посмотреть на сайте ...</v>
      </c>
    </row>
    <row r="2044" spans="1:8" s="16" customFormat="1" x14ac:dyDescent="0.25">
      <c r="A2044" s="17">
        <v>2034</v>
      </c>
      <c r="B2044" s="17" t="s">
        <v>87</v>
      </c>
      <c r="C2044" s="17" t="s">
        <v>3772</v>
      </c>
      <c r="D2044" s="18">
        <v>100</v>
      </c>
      <c r="E2044" s="18">
        <v>0.7</v>
      </c>
      <c r="F2044" s="18">
        <v>0.77</v>
      </c>
      <c r="G2044" s="20" t="s">
        <v>4827</v>
      </c>
      <c r="H2044" s="19" t="str">
        <f>HYPERLINK("https://elefant.by/catalogue/665422978","Посмотреть на сайте ...")</f>
        <v>Посмотреть на сайте ...</v>
      </c>
    </row>
    <row r="2045" spans="1:8" s="16" customFormat="1" x14ac:dyDescent="0.25">
      <c r="A2045" s="17">
        <v>2035</v>
      </c>
      <c r="B2045" s="17" t="s">
        <v>87</v>
      </c>
      <c r="C2045" s="17" t="s">
        <v>2432</v>
      </c>
      <c r="D2045" s="18">
        <v>100</v>
      </c>
      <c r="E2045" s="18">
        <v>0.7</v>
      </c>
      <c r="F2045" s="18">
        <v>0.77</v>
      </c>
      <c r="G2045" s="20" t="s">
        <v>2433</v>
      </c>
      <c r="H2045" s="19" t="str">
        <f>HYPERLINK("https://elefant.by/catalogue/639354600","Посмотреть на сайте ...")</f>
        <v>Посмотреть на сайте ...</v>
      </c>
    </row>
    <row r="2046" spans="1:8" s="16" customFormat="1" x14ac:dyDescent="0.25">
      <c r="A2046" s="17">
        <v>2036</v>
      </c>
      <c r="B2046" s="17" t="s">
        <v>13</v>
      </c>
      <c r="C2046" s="17" t="s">
        <v>3773</v>
      </c>
      <c r="D2046" s="18">
        <v>60</v>
      </c>
      <c r="E2046" s="18">
        <v>0.73</v>
      </c>
      <c r="F2046" s="18">
        <v>0.8</v>
      </c>
      <c r="G2046" s="20" t="s">
        <v>4828</v>
      </c>
      <c r="H2046" s="19" t="str">
        <f>HYPERLINK("https://elefant.by/catalogue/649102268","Посмотреть на сайте ...")</f>
        <v>Посмотреть на сайте ...</v>
      </c>
    </row>
    <row r="2047" spans="1:8" s="16" customFormat="1" x14ac:dyDescent="0.25">
      <c r="A2047" s="17">
        <v>2037</v>
      </c>
      <c r="B2047" s="17" t="s">
        <v>13</v>
      </c>
      <c r="C2047" s="17" t="s">
        <v>3774</v>
      </c>
      <c r="D2047" s="18">
        <v>60</v>
      </c>
      <c r="E2047" s="18">
        <v>0.7</v>
      </c>
      <c r="F2047" s="18">
        <v>0.77</v>
      </c>
      <c r="G2047" s="20" t="s">
        <v>4829</v>
      </c>
      <c r="H2047" s="19" t="str">
        <f>HYPERLINK("https://elefant.by/catalogue/564880162","Посмотреть на сайте ...")</f>
        <v>Посмотреть на сайте ...</v>
      </c>
    </row>
    <row r="2048" spans="1:8" s="16" customFormat="1" x14ac:dyDescent="0.25">
      <c r="A2048" s="17">
        <v>2038</v>
      </c>
      <c r="B2048" s="17" t="s">
        <v>13</v>
      </c>
      <c r="C2048" s="17" t="s">
        <v>3775</v>
      </c>
      <c r="D2048" s="18">
        <v>60</v>
      </c>
      <c r="E2048" s="18">
        <v>0.73</v>
      </c>
      <c r="F2048" s="18">
        <v>0.8</v>
      </c>
      <c r="G2048" s="20" t="s">
        <v>4830</v>
      </c>
      <c r="H2048" s="19" t="str">
        <f>HYPERLINK("https://elefant.by/catalogue/681919345","Посмотреть на сайте ...")</f>
        <v>Посмотреть на сайте ...</v>
      </c>
    </row>
    <row r="2049" spans="1:8" s="16" customFormat="1" x14ac:dyDescent="0.25">
      <c r="A2049" s="17">
        <v>2039</v>
      </c>
      <c r="B2049" s="17" t="s">
        <v>13</v>
      </c>
      <c r="C2049" s="17" t="s">
        <v>3776</v>
      </c>
      <c r="D2049" s="18">
        <v>60</v>
      </c>
      <c r="E2049" s="18">
        <v>0.73</v>
      </c>
      <c r="F2049" s="18">
        <v>0.8</v>
      </c>
      <c r="G2049" s="20" t="s">
        <v>4831</v>
      </c>
      <c r="H2049" s="19" t="str">
        <f>HYPERLINK("https://elefant.by/catalogue/681919346","Посмотреть на сайте ...")</f>
        <v>Посмотреть на сайте ...</v>
      </c>
    </row>
    <row r="2050" spans="1:8" s="16" customFormat="1" x14ac:dyDescent="0.25">
      <c r="A2050" s="17">
        <v>2040</v>
      </c>
      <c r="B2050" s="17" t="s">
        <v>13</v>
      </c>
      <c r="C2050" s="17" t="s">
        <v>2434</v>
      </c>
      <c r="D2050" s="18">
        <v>60</v>
      </c>
      <c r="E2050" s="18">
        <v>0.7</v>
      </c>
      <c r="F2050" s="18">
        <v>0.77</v>
      </c>
      <c r="G2050" s="20" t="s">
        <v>2435</v>
      </c>
      <c r="H2050" s="19" t="str">
        <f>HYPERLINK("https://elefant.by/catalogue/639221361","Посмотреть на сайте ...")</f>
        <v>Посмотреть на сайте ...</v>
      </c>
    </row>
    <row r="2051" spans="1:8" s="16" customFormat="1" x14ac:dyDescent="0.25">
      <c r="A2051" s="17">
        <v>2041</v>
      </c>
      <c r="B2051" s="17" t="s">
        <v>13</v>
      </c>
      <c r="C2051" s="17" t="s">
        <v>3777</v>
      </c>
      <c r="D2051" s="18">
        <v>60</v>
      </c>
      <c r="E2051" s="18">
        <v>0.7</v>
      </c>
      <c r="F2051" s="18">
        <v>0.77</v>
      </c>
      <c r="G2051" s="20" t="s">
        <v>4832</v>
      </c>
      <c r="H2051" s="19" t="str">
        <f>HYPERLINK("https://elefant.by/catalogue/649102269","Посмотреть на сайте ...")</f>
        <v>Посмотреть на сайте ...</v>
      </c>
    </row>
    <row r="2052" spans="1:8" s="16" customFormat="1" x14ac:dyDescent="0.25">
      <c r="A2052" s="17">
        <v>2042</v>
      </c>
      <c r="B2052" s="17" t="s">
        <v>13</v>
      </c>
      <c r="C2052" s="17" t="s">
        <v>2436</v>
      </c>
      <c r="D2052" s="18">
        <v>60</v>
      </c>
      <c r="E2052" s="18">
        <v>0.7</v>
      </c>
      <c r="F2052" s="18">
        <v>0.77</v>
      </c>
      <c r="G2052" s="20" t="s">
        <v>2437</v>
      </c>
      <c r="H2052" s="19" t="str">
        <f>HYPERLINK("https://elefant.by/catalogue/642291016","Посмотреть на сайте ...")</f>
        <v>Посмотреть на сайте ...</v>
      </c>
    </row>
    <row r="2053" spans="1:8" s="16" customFormat="1" x14ac:dyDescent="0.25">
      <c r="A2053" s="17">
        <v>2043</v>
      </c>
      <c r="B2053" s="17" t="s">
        <v>13</v>
      </c>
      <c r="C2053" s="17" t="s">
        <v>2438</v>
      </c>
      <c r="D2053" s="18">
        <v>60</v>
      </c>
      <c r="E2053" s="18">
        <v>0.75</v>
      </c>
      <c r="F2053" s="18">
        <v>0.83</v>
      </c>
      <c r="G2053" s="20" t="s">
        <v>2439</v>
      </c>
      <c r="H2053" s="19" t="str">
        <f>HYPERLINK("https://elefant.by/catalogue/642291017","Посмотреть на сайте ...")</f>
        <v>Посмотреть на сайте ...</v>
      </c>
    </row>
    <row r="2054" spans="1:8" s="16" customFormat="1" x14ac:dyDescent="0.25">
      <c r="A2054" s="17">
        <v>2044</v>
      </c>
      <c r="B2054" s="17" t="s">
        <v>13</v>
      </c>
      <c r="C2054" s="17" t="s">
        <v>3778</v>
      </c>
      <c r="D2054" s="18">
        <v>60</v>
      </c>
      <c r="E2054" s="18">
        <v>0.7</v>
      </c>
      <c r="F2054" s="18">
        <v>0.77</v>
      </c>
      <c r="G2054" s="20" t="s">
        <v>4833</v>
      </c>
      <c r="H2054" s="19" t="str">
        <f>HYPERLINK("https://elefant.by/catalogue/649102270","Посмотреть на сайте ...")</f>
        <v>Посмотреть на сайте ...</v>
      </c>
    </row>
    <row r="2055" spans="1:8" s="16" customFormat="1" x14ac:dyDescent="0.25">
      <c r="A2055" s="17">
        <v>2045</v>
      </c>
      <c r="B2055" s="17" t="s">
        <v>13</v>
      </c>
      <c r="C2055" s="17" t="s">
        <v>2440</v>
      </c>
      <c r="D2055" s="18">
        <v>60</v>
      </c>
      <c r="E2055" s="18">
        <v>0.7</v>
      </c>
      <c r="F2055" s="18">
        <v>0.77</v>
      </c>
      <c r="G2055" s="20" t="s">
        <v>2441</v>
      </c>
      <c r="H2055" s="19" t="str">
        <f>HYPERLINK("https://elefant.by/catalogue/579317751","Посмотреть на сайте ...")</f>
        <v>Посмотреть на сайте ...</v>
      </c>
    </row>
    <row r="2056" spans="1:8" s="16" customFormat="1" x14ac:dyDescent="0.25">
      <c r="A2056" s="17">
        <v>2046</v>
      </c>
      <c r="B2056" s="17" t="s">
        <v>13</v>
      </c>
      <c r="C2056" s="17" t="s">
        <v>2442</v>
      </c>
      <c r="D2056" s="18">
        <v>60</v>
      </c>
      <c r="E2056" s="18">
        <v>0.7</v>
      </c>
      <c r="F2056" s="18">
        <v>0.77</v>
      </c>
      <c r="G2056" s="20" t="s">
        <v>2443</v>
      </c>
      <c r="H2056" s="19" t="str">
        <f>HYPERLINK("https://elefant.by/catalogue/642291018","Посмотреть на сайте ...")</f>
        <v>Посмотреть на сайте ...</v>
      </c>
    </row>
    <row r="2057" spans="1:8" s="16" customFormat="1" x14ac:dyDescent="0.25">
      <c r="A2057" s="17">
        <v>2047</v>
      </c>
      <c r="B2057" s="17" t="s">
        <v>13</v>
      </c>
      <c r="C2057" s="17" t="s">
        <v>3779</v>
      </c>
      <c r="D2057" s="18">
        <v>60</v>
      </c>
      <c r="E2057" s="18">
        <v>0.76</v>
      </c>
      <c r="F2057" s="18">
        <v>0.84</v>
      </c>
      <c r="G2057" s="20" t="s">
        <v>4834</v>
      </c>
      <c r="H2057" s="19" t="str">
        <f>HYPERLINK("https://elefant.by/catalogue/703823477","Посмотреть на сайте ...")</f>
        <v>Посмотреть на сайте ...</v>
      </c>
    </row>
    <row r="2058" spans="1:8" s="16" customFormat="1" x14ac:dyDescent="0.25">
      <c r="A2058" s="17">
        <v>2048</v>
      </c>
      <c r="B2058" s="17" t="s">
        <v>13</v>
      </c>
      <c r="C2058" s="17" t="s">
        <v>2444</v>
      </c>
      <c r="D2058" s="18">
        <v>60</v>
      </c>
      <c r="E2058" s="18">
        <v>0.76</v>
      </c>
      <c r="F2058" s="18">
        <v>0.84</v>
      </c>
      <c r="G2058" s="20" t="s">
        <v>2445</v>
      </c>
      <c r="H2058" s="19" t="str">
        <f>HYPERLINK("https://elefant.by/catalogue/642291020","Посмотреть на сайте ...")</f>
        <v>Посмотреть на сайте ...</v>
      </c>
    </row>
    <row r="2059" spans="1:8" s="16" customFormat="1" x14ac:dyDescent="0.25">
      <c r="A2059" s="17">
        <v>2049</v>
      </c>
      <c r="B2059" s="17" t="s">
        <v>13</v>
      </c>
      <c r="C2059" s="17" t="s">
        <v>3780</v>
      </c>
      <c r="D2059" s="18">
        <v>60</v>
      </c>
      <c r="E2059" s="18">
        <v>0.76</v>
      </c>
      <c r="F2059" s="18">
        <v>0.84</v>
      </c>
      <c r="G2059" s="20" t="s">
        <v>4835</v>
      </c>
      <c r="H2059" s="19" t="str">
        <f>HYPERLINK("https://elefant.by/catalogue/649102271","Посмотреть на сайте ...")</f>
        <v>Посмотреть на сайте ...</v>
      </c>
    </row>
    <row r="2060" spans="1:8" s="16" customFormat="1" x14ac:dyDescent="0.25">
      <c r="A2060" s="17">
        <v>2050</v>
      </c>
      <c r="B2060" s="17" t="s">
        <v>13</v>
      </c>
      <c r="C2060" s="17" t="s">
        <v>3781</v>
      </c>
      <c r="D2060" s="18">
        <v>60</v>
      </c>
      <c r="E2060" s="18">
        <v>0.7</v>
      </c>
      <c r="F2060" s="18">
        <v>0.77</v>
      </c>
      <c r="G2060" s="20" t="s">
        <v>4836</v>
      </c>
      <c r="H2060" s="19" t="str">
        <f>HYPERLINK("https://elefant.by/catalogue/649102272","Посмотреть на сайте ...")</f>
        <v>Посмотреть на сайте ...</v>
      </c>
    </row>
    <row r="2061" spans="1:8" s="16" customFormat="1" x14ac:dyDescent="0.25">
      <c r="A2061" s="17">
        <v>2051</v>
      </c>
      <c r="B2061" s="17" t="s">
        <v>13</v>
      </c>
      <c r="C2061" s="17" t="s">
        <v>3782</v>
      </c>
      <c r="D2061" s="18">
        <v>60</v>
      </c>
      <c r="E2061" s="18">
        <v>0.75</v>
      </c>
      <c r="F2061" s="18">
        <v>0.83</v>
      </c>
      <c r="G2061" s="20" t="s">
        <v>4837</v>
      </c>
      <c r="H2061" s="19" t="str">
        <f>HYPERLINK("https://elefant.by/catalogue/649102273","Посмотреть на сайте ...")</f>
        <v>Посмотреть на сайте ...</v>
      </c>
    </row>
    <row r="2062" spans="1:8" s="16" customFormat="1" x14ac:dyDescent="0.25">
      <c r="A2062" s="17">
        <v>2052</v>
      </c>
      <c r="B2062" s="17" t="s">
        <v>13</v>
      </c>
      <c r="C2062" s="17" t="s">
        <v>3783</v>
      </c>
      <c r="D2062" s="18">
        <v>60</v>
      </c>
      <c r="E2062" s="18">
        <v>0.76</v>
      </c>
      <c r="F2062" s="18">
        <v>0.84</v>
      </c>
      <c r="G2062" s="20" t="s">
        <v>4838</v>
      </c>
      <c r="H2062" s="19" t="str">
        <f>HYPERLINK("https://elefant.by/catalogue/611525109","Посмотреть на сайте ...")</f>
        <v>Посмотреть на сайте ...</v>
      </c>
    </row>
    <row r="2063" spans="1:8" s="16" customFormat="1" x14ac:dyDescent="0.25">
      <c r="A2063" s="17">
        <v>2053</v>
      </c>
      <c r="B2063" s="17" t="s">
        <v>13</v>
      </c>
      <c r="C2063" s="17" t="s">
        <v>2446</v>
      </c>
      <c r="D2063" s="18">
        <v>60</v>
      </c>
      <c r="E2063" s="18">
        <v>0.76</v>
      </c>
      <c r="F2063" s="18">
        <v>0.84</v>
      </c>
      <c r="G2063" s="20" t="s">
        <v>2447</v>
      </c>
      <c r="H2063" s="19" t="str">
        <f>HYPERLINK("https://elefant.by/catalogue/645143002","Посмотреть на сайте ...")</f>
        <v>Посмотреть на сайте ...</v>
      </c>
    </row>
    <row r="2064" spans="1:8" s="16" customFormat="1" x14ac:dyDescent="0.25">
      <c r="A2064" s="17">
        <v>2054</v>
      </c>
      <c r="B2064" s="17" t="s">
        <v>13</v>
      </c>
      <c r="C2064" s="17" t="s">
        <v>3784</v>
      </c>
      <c r="D2064" s="18">
        <v>60</v>
      </c>
      <c r="E2064" s="18">
        <v>0.76</v>
      </c>
      <c r="F2064" s="18">
        <v>0.84</v>
      </c>
      <c r="G2064" s="20" t="s">
        <v>2448</v>
      </c>
      <c r="H2064" s="19" t="str">
        <f>HYPERLINK("https://elefant.by/catalogue/646313533","Посмотреть на сайте ...")</f>
        <v>Посмотреть на сайте ...</v>
      </c>
    </row>
    <row r="2065" spans="1:8" s="16" customFormat="1" x14ac:dyDescent="0.25">
      <c r="A2065" s="17">
        <v>2055</v>
      </c>
      <c r="B2065" s="17" t="s">
        <v>13</v>
      </c>
      <c r="C2065" s="17" t="s">
        <v>3785</v>
      </c>
      <c r="D2065" s="18">
        <v>60</v>
      </c>
      <c r="E2065" s="18">
        <v>0.76</v>
      </c>
      <c r="F2065" s="18">
        <v>0.84</v>
      </c>
      <c r="G2065" s="20" t="s">
        <v>4839</v>
      </c>
      <c r="H2065" s="19" t="str">
        <f>HYPERLINK("https://elefant.by/catalogue/649102274","Посмотреть на сайте ...")</f>
        <v>Посмотреть на сайте ...</v>
      </c>
    </row>
    <row r="2066" spans="1:8" s="16" customFormat="1" x14ac:dyDescent="0.25">
      <c r="A2066" s="17">
        <v>2056</v>
      </c>
      <c r="B2066" s="17" t="s">
        <v>13</v>
      </c>
      <c r="C2066" s="17" t="s">
        <v>3786</v>
      </c>
      <c r="D2066" s="18">
        <v>60</v>
      </c>
      <c r="E2066" s="18">
        <v>0.81</v>
      </c>
      <c r="F2066" s="18">
        <v>0.89</v>
      </c>
      <c r="G2066" s="20" t="s">
        <v>4840</v>
      </c>
      <c r="H2066" s="19" t="str">
        <f>HYPERLINK("https://elefant.by/catalogue/649102275","Посмотреть на сайте ...")</f>
        <v>Посмотреть на сайте ...</v>
      </c>
    </row>
    <row r="2067" spans="1:8" s="16" customFormat="1" x14ac:dyDescent="0.25">
      <c r="A2067" s="17">
        <v>2057</v>
      </c>
      <c r="B2067" s="17" t="s">
        <v>13</v>
      </c>
      <c r="C2067" s="17" t="s">
        <v>3787</v>
      </c>
      <c r="D2067" s="18">
        <v>60</v>
      </c>
      <c r="E2067" s="18">
        <v>0.56999999999999995</v>
      </c>
      <c r="F2067" s="18">
        <v>0.63</v>
      </c>
      <c r="G2067" s="20" t="s">
        <v>4841</v>
      </c>
      <c r="H2067" s="19" t="str">
        <f>HYPERLINK("https://elefant.by/catalogue/670251672","Посмотреть на сайте ...")</f>
        <v>Посмотреть на сайте ...</v>
      </c>
    </row>
    <row r="2068" spans="1:8" s="16" customFormat="1" x14ac:dyDescent="0.25">
      <c r="A2068" s="17">
        <v>2058</v>
      </c>
      <c r="B2068" s="17" t="s">
        <v>13</v>
      </c>
      <c r="C2068" s="17" t="s">
        <v>2449</v>
      </c>
      <c r="D2068" s="18">
        <v>60</v>
      </c>
      <c r="E2068" s="18">
        <v>0.56999999999999995</v>
      </c>
      <c r="F2068" s="18">
        <v>0.63</v>
      </c>
      <c r="G2068" s="20" t="s">
        <v>2450</v>
      </c>
      <c r="H2068" s="19" t="str">
        <f>HYPERLINK("https://elefant.by/catalogue/639221362","Посмотреть на сайте ...")</f>
        <v>Посмотреть на сайте ...</v>
      </c>
    </row>
    <row r="2069" spans="1:8" s="16" customFormat="1" x14ac:dyDescent="0.25">
      <c r="A2069" s="17">
        <v>2059</v>
      </c>
      <c r="B2069" s="17" t="s">
        <v>13</v>
      </c>
      <c r="C2069" s="17" t="s">
        <v>2451</v>
      </c>
      <c r="D2069" s="18">
        <v>60</v>
      </c>
      <c r="E2069" s="18">
        <v>0.56999999999999995</v>
      </c>
      <c r="F2069" s="18">
        <v>0.63</v>
      </c>
      <c r="G2069" s="20" t="s">
        <v>2452</v>
      </c>
      <c r="H2069" s="19" t="str">
        <f>HYPERLINK("https://elefant.by/catalogue/639221363","Посмотреть на сайте ...")</f>
        <v>Посмотреть на сайте ...</v>
      </c>
    </row>
    <row r="2070" spans="1:8" s="16" customFormat="1" x14ac:dyDescent="0.25">
      <c r="A2070" s="17">
        <v>2060</v>
      </c>
      <c r="B2070" s="17" t="s">
        <v>13</v>
      </c>
      <c r="C2070" s="17" t="s">
        <v>2453</v>
      </c>
      <c r="D2070" s="18">
        <v>60</v>
      </c>
      <c r="E2070" s="18">
        <v>0.56999999999999995</v>
      </c>
      <c r="F2070" s="18">
        <v>0.63</v>
      </c>
      <c r="G2070" s="20" t="s">
        <v>2454</v>
      </c>
      <c r="H2070" s="19" t="str">
        <f>HYPERLINK("https://elefant.by/catalogue/642732985","Посмотреть на сайте ...")</f>
        <v>Посмотреть на сайте ...</v>
      </c>
    </row>
    <row r="2071" spans="1:8" s="16" customFormat="1" x14ac:dyDescent="0.25">
      <c r="A2071" s="17">
        <v>2061</v>
      </c>
      <c r="B2071" s="17" t="s">
        <v>13</v>
      </c>
      <c r="C2071" s="17" t="s">
        <v>3788</v>
      </c>
      <c r="D2071" s="18">
        <v>60</v>
      </c>
      <c r="E2071" s="18">
        <v>0.56999999999999995</v>
      </c>
      <c r="F2071" s="18">
        <v>0.63</v>
      </c>
      <c r="G2071" s="20" t="s">
        <v>4842</v>
      </c>
      <c r="H2071" s="19" t="str">
        <f>HYPERLINK("https://elefant.by/catalogue/670251673","Посмотреть на сайте ...")</f>
        <v>Посмотреть на сайте ...</v>
      </c>
    </row>
    <row r="2072" spans="1:8" s="16" customFormat="1" x14ac:dyDescent="0.25">
      <c r="A2072" s="17">
        <v>2062</v>
      </c>
      <c r="B2072" s="17" t="s">
        <v>2915</v>
      </c>
      <c r="C2072" s="17" t="s">
        <v>3789</v>
      </c>
      <c r="D2072" s="18">
        <v>60</v>
      </c>
      <c r="E2072" s="18">
        <v>0.73</v>
      </c>
      <c r="F2072" s="18">
        <v>0.8</v>
      </c>
      <c r="G2072" s="20" t="s">
        <v>4843</v>
      </c>
      <c r="H2072" s="19" t="str">
        <f>HYPERLINK("https://elefant.by/catalogue/683709531","Посмотреть на сайте ...")</f>
        <v>Посмотреть на сайте ...</v>
      </c>
    </row>
    <row r="2073" spans="1:8" s="16" customFormat="1" x14ac:dyDescent="0.25">
      <c r="A2073" s="17">
        <v>2063</v>
      </c>
      <c r="B2073" s="17" t="s">
        <v>2915</v>
      </c>
      <c r="C2073" s="17" t="s">
        <v>3790</v>
      </c>
      <c r="D2073" s="18">
        <v>60</v>
      </c>
      <c r="E2073" s="18">
        <v>0.73</v>
      </c>
      <c r="F2073" s="18">
        <v>0.8</v>
      </c>
      <c r="G2073" s="20" t="s">
        <v>4844</v>
      </c>
      <c r="H2073" s="19" t="str">
        <f>HYPERLINK("https://elefant.by/catalogue/683709532","Посмотреть на сайте ...")</f>
        <v>Посмотреть на сайте ...</v>
      </c>
    </row>
    <row r="2074" spans="1:8" s="16" customFormat="1" x14ac:dyDescent="0.25">
      <c r="A2074" s="17">
        <v>2064</v>
      </c>
      <c r="B2074" s="17" t="s">
        <v>2915</v>
      </c>
      <c r="C2074" s="17" t="s">
        <v>3791</v>
      </c>
      <c r="D2074" s="18">
        <v>60</v>
      </c>
      <c r="E2074" s="18">
        <v>0.73</v>
      </c>
      <c r="F2074" s="18">
        <v>0.8</v>
      </c>
      <c r="G2074" s="20" t="s">
        <v>4845</v>
      </c>
      <c r="H2074" s="19" t="str">
        <f>HYPERLINK("https://elefant.by/catalogue/673626727","Посмотреть на сайте ...")</f>
        <v>Посмотреть на сайте ...</v>
      </c>
    </row>
    <row r="2075" spans="1:8" s="16" customFormat="1" x14ac:dyDescent="0.25">
      <c r="A2075" s="17">
        <v>2065</v>
      </c>
      <c r="B2075" s="17" t="s">
        <v>2915</v>
      </c>
      <c r="C2075" s="17" t="s">
        <v>3792</v>
      </c>
      <c r="D2075" s="18">
        <v>60</v>
      </c>
      <c r="E2075" s="18">
        <v>0.73</v>
      </c>
      <c r="F2075" s="18">
        <v>0.8</v>
      </c>
      <c r="G2075" s="20" t="s">
        <v>4846</v>
      </c>
      <c r="H2075" s="19" t="str">
        <f>HYPERLINK("https://elefant.by/catalogue/683709579","Посмотреть на сайте ...")</f>
        <v>Посмотреть на сайте ...</v>
      </c>
    </row>
    <row r="2076" spans="1:8" s="16" customFormat="1" x14ac:dyDescent="0.25">
      <c r="A2076" s="17">
        <v>2066</v>
      </c>
      <c r="B2076" s="17" t="s">
        <v>2915</v>
      </c>
      <c r="C2076" s="17" t="s">
        <v>3793</v>
      </c>
      <c r="D2076" s="18">
        <v>60</v>
      </c>
      <c r="E2076" s="18">
        <v>0.73</v>
      </c>
      <c r="F2076" s="18">
        <v>0.8</v>
      </c>
      <c r="G2076" s="20" t="s">
        <v>4847</v>
      </c>
      <c r="H2076" s="19" t="str">
        <f>HYPERLINK("https://elefant.by/catalogue/679653892","Посмотреть на сайте ...")</f>
        <v>Посмотреть на сайте ...</v>
      </c>
    </row>
    <row r="2077" spans="1:8" s="16" customFormat="1" x14ac:dyDescent="0.25">
      <c r="A2077" s="17">
        <v>2067</v>
      </c>
      <c r="B2077" s="17" t="s">
        <v>2915</v>
      </c>
      <c r="C2077" s="17" t="s">
        <v>3794</v>
      </c>
      <c r="D2077" s="18">
        <v>60</v>
      </c>
      <c r="E2077" s="18">
        <v>0.73</v>
      </c>
      <c r="F2077" s="18">
        <v>0.8</v>
      </c>
      <c r="G2077" s="20" t="s">
        <v>4848</v>
      </c>
      <c r="H2077" s="19" t="str">
        <f>HYPERLINK("https://elefant.by/catalogue/683709528","Посмотреть на сайте ...")</f>
        <v>Посмотреть на сайте ...</v>
      </c>
    </row>
    <row r="2078" spans="1:8" s="16" customFormat="1" x14ac:dyDescent="0.25">
      <c r="A2078" s="17">
        <v>2068</v>
      </c>
      <c r="B2078" s="17" t="s">
        <v>2915</v>
      </c>
      <c r="C2078" s="17" t="s">
        <v>3795</v>
      </c>
      <c r="D2078" s="18">
        <v>60</v>
      </c>
      <c r="E2078" s="18">
        <v>0.73</v>
      </c>
      <c r="F2078" s="18">
        <v>0.8</v>
      </c>
      <c r="G2078" s="20" t="s">
        <v>4849</v>
      </c>
      <c r="H2078" s="19" t="str">
        <f>HYPERLINK("https://elefant.by/catalogue/679653893","Посмотреть на сайте ...")</f>
        <v>Посмотреть на сайте ...</v>
      </c>
    </row>
    <row r="2079" spans="1:8" s="16" customFormat="1" x14ac:dyDescent="0.25">
      <c r="A2079" s="17">
        <v>2069</v>
      </c>
      <c r="B2079" s="17" t="s">
        <v>2915</v>
      </c>
      <c r="C2079" s="17" t="s">
        <v>3796</v>
      </c>
      <c r="D2079" s="18">
        <v>60</v>
      </c>
      <c r="E2079" s="18">
        <v>0.73</v>
      </c>
      <c r="F2079" s="18">
        <v>0.8</v>
      </c>
      <c r="G2079" s="20" t="s">
        <v>4850</v>
      </c>
      <c r="H2079" s="19" t="str">
        <f>HYPERLINK("https://elefant.by/catalogue/679653891","Посмотреть на сайте ...")</f>
        <v>Посмотреть на сайте ...</v>
      </c>
    </row>
    <row r="2080" spans="1:8" s="16" customFormat="1" x14ac:dyDescent="0.25">
      <c r="A2080" s="17">
        <v>2070</v>
      </c>
      <c r="B2080" s="17" t="s">
        <v>2915</v>
      </c>
      <c r="C2080" s="17" t="s">
        <v>3797</v>
      </c>
      <c r="D2080" s="18">
        <v>60</v>
      </c>
      <c r="E2080" s="18">
        <v>0.73</v>
      </c>
      <c r="F2080" s="18">
        <v>0.8</v>
      </c>
      <c r="G2080" s="20" t="s">
        <v>4851</v>
      </c>
      <c r="H2080" s="19" t="str">
        <f>HYPERLINK("https://elefant.by/catalogue/683709529","Посмотреть на сайте ...")</f>
        <v>Посмотреть на сайте ...</v>
      </c>
    </row>
    <row r="2081" spans="1:8" s="16" customFormat="1" x14ac:dyDescent="0.25">
      <c r="A2081" s="17">
        <v>2071</v>
      </c>
      <c r="B2081" s="17" t="s">
        <v>14</v>
      </c>
      <c r="C2081" s="17" t="s">
        <v>2455</v>
      </c>
      <c r="D2081" s="18">
        <v>100</v>
      </c>
      <c r="E2081" s="18">
        <v>0.56000000000000005</v>
      </c>
      <c r="F2081" s="18">
        <v>0.62</v>
      </c>
      <c r="G2081" s="20" t="s">
        <v>2456</v>
      </c>
      <c r="H2081" s="19" t="str">
        <f>HYPERLINK("https://elefant.by/catalogue/213615807","Посмотреть на сайте ...")</f>
        <v>Посмотреть на сайте ...</v>
      </c>
    </row>
    <row r="2082" spans="1:8" s="16" customFormat="1" x14ac:dyDescent="0.25">
      <c r="A2082" s="17">
        <v>2072</v>
      </c>
      <c r="B2082" s="17" t="s">
        <v>2915</v>
      </c>
      <c r="C2082" s="17" t="s">
        <v>3798</v>
      </c>
      <c r="D2082" s="18">
        <v>48</v>
      </c>
      <c r="E2082" s="18">
        <v>0.73</v>
      </c>
      <c r="F2082" s="18">
        <v>0.8</v>
      </c>
      <c r="G2082" s="20" t="s">
        <v>4852</v>
      </c>
      <c r="H2082" s="19" t="str">
        <f>HYPERLINK("https://elefant.by/catalogue/671048817","Посмотреть на сайте ...")</f>
        <v>Посмотреть на сайте ...</v>
      </c>
    </row>
    <row r="2083" spans="1:8" s="16" customFormat="1" x14ac:dyDescent="0.25">
      <c r="A2083" s="17">
        <v>2073</v>
      </c>
      <c r="B2083" s="17" t="s">
        <v>2915</v>
      </c>
      <c r="C2083" s="17" t="s">
        <v>3799</v>
      </c>
      <c r="D2083" s="18">
        <v>48</v>
      </c>
      <c r="E2083" s="18">
        <v>0.73</v>
      </c>
      <c r="F2083" s="18">
        <v>0.8</v>
      </c>
      <c r="G2083" s="20" t="s">
        <v>4853</v>
      </c>
      <c r="H2083" s="19" t="str">
        <f>HYPERLINK("https://elefant.by/catalogue/665871567","Посмотреть на сайте ...")</f>
        <v>Посмотреть на сайте ...</v>
      </c>
    </row>
    <row r="2084" spans="1:8" s="16" customFormat="1" x14ac:dyDescent="0.25">
      <c r="A2084" s="17">
        <v>2074</v>
      </c>
      <c r="B2084" s="17" t="s">
        <v>87</v>
      </c>
      <c r="C2084" s="17" t="s">
        <v>2457</v>
      </c>
      <c r="D2084" s="18">
        <v>100</v>
      </c>
      <c r="E2084" s="18">
        <v>0.6</v>
      </c>
      <c r="F2084" s="18">
        <v>0.66</v>
      </c>
      <c r="G2084" s="20" t="s">
        <v>2458</v>
      </c>
      <c r="H2084" s="19" t="str">
        <f>HYPERLINK("https://elefant.by/catalogue/519777908","Посмотреть на сайте ...")</f>
        <v>Посмотреть на сайте ...</v>
      </c>
    </row>
    <row r="2085" spans="1:8" s="16" customFormat="1" x14ac:dyDescent="0.25">
      <c r="A2085" s="17">
        <v>2075</v>
      </c>
      <c r="B2085" s="17" t="s">
        <v>87</v>
      </c>
      <c r="C2085" s="17" t="s">
        <v>3800</v>
      </c>
      <c r="D2085" s="18">
        <v>100</v>
      </c>
      <c r="E2085" s="18">
        <v>0.6</v>
      </c>
      <c r="F2085" s="18">
        <v>0.66</v>
      </c>
      <c r="G2085" s="20" t="s">
        <v>4854</v>
      </c>
      <c r="H2085" s="19" t="str">
        <f>HYPERLINK("https://elefant.by/catalogue/519777916","Посмотреть на сайте ...")</f>
        <v>Посмотреть на сайте ...</v>
      </c>
    </row>
    <row r="2086" spans="1:8" s="16" customFormat="1" x14ac:dyDescent="0.25">
      <c r="A2086" s="17">
        <v>2076</v>
      </c>
      <c r="B2086" s="17" t="s">
        <v>87</v>
      </c>
      <c r="C2086" s="17" t="s">
        <v>3801</v>
      </c>
      <c r="D2086" s="18">
        <v>100</v>
      </c>
      <c r="E2086" s="18">
        <v>0.6</v>
      </c>
      <c r="F2086" s="18">
        <v>0.66</v>
      </c>
      <c r="G2086" s="20" t="s">
        <v>4855</v>
      </c>
      <c r="H2086" s="19" t="str">
        <f>HYPERLINK("https://elefant.by/catalogue/519777917","Посмотреть на сайте ...")</f>
        <v>Посмотреть на сайте ...</v>
      </c>
    </row>
    <row r="2087" spans="1:8" s="16" customFormat="1" x14ac:dyDescent="0.25">
      <c r="A2087" s="17">
        <v>2077</v>
      </c>
      <c r="B2087" s="17" t="s">
        <v>13</v>
      </c>
      <c r="C2087" s="17" t="s">
        <v>3802</v>
      </c>
      <c r="D2087" s="18">
        <v>60</v>
      </c>
      <c r="E2087" s="18">
        <v>0.74</v>
      </c>
      <c r="F2087" s="18">
        <v>0.81</v>
      </c>
      <c r="G2087" s="20" t="s">
        <v>4856</v>
      </c>
      <c r="H2087" s="19" t="str">
        <f>HYPERLINK("https://elefant.by/catalogue/656005935","Посмотреть на сайте ...")</f>
        <v>Посмотреть на сайте ...</v>
      </c>
    </row>
    <row r="2088" spans="1:8" s="16" customFormat="1" x14ac:dyDescent="0.25">
      <c r="A2088" s="17">
        <v>2078</v>
      </c>
      <c r="B2088" s="17" t="s">
        <v>13</v>
      </c>
      <c r="C2088" s="17" t="s">
        <v>3803</v>
      </c>
      <c r="D2088" s="18">
        <v>60</v>
      </c>
      <c r="E2088" s="18">
        <v>0.74</v>
      </c>
      <c r="F2088" s="18">
        <v>0.81</v>
      </c>
      <c r="G2088" s="20" t="s">
        <v>4857</v>
      </c>
      <c r="H2088" s="19" t="str">
        <f>HYPERLINK("https://elefant.by/catalogue/656005936","Посмотреть на сайте ...")</f>
        <v>Посмотреть на сайте ...</v>
      </c>
    </row>
    <row r="2089" spans="1:8" s="16" customFormat="1" x14ac:dyDescent="0.25">
      <c r="A2089" s="17">
        <v>2079</v>
      </c>
      <c r="B2089" s="17" t="s">
        <v>13</v>
      </c>
      <c r="C2089" s="17" t="s">
        <v>3804</v>
      </c>
      <c r="D2089" s="18">
        <v>60</v>
      </c>
      <c r="E2089" s="18">
        <v>0.74</v>
      </c>
      <c r="F2089" s="18">
        <v>0.81</v>
      </c>
      <c r="G2089" s="20" t="s">
        <v>4858</v>
      </c>
      <c r="H2089" s="19" t="str">
        <f>HYPERLINK("https://elefant.by/catalogue/656005938","Посмотреть на сайте ...")</f>
        <v>Посмотреть на сайте ...</v>
      </c>
    </row>
    <row r="2090" spans="1:8" s="16" customFormat="1" x14ac:dyDescent="0.25">
      <c r="A2090" s="17">
        <v>2080</v>
      </c>
      <c r="B2090" s="17" t="s">
        <v>13</v>
      </c>
      <c r="C2090" s="17" t="s">
        <v>3805</v>
      </c>
      <c r="D2090" s="18">
        <v>60</v>
      </c>
      <c r="E2090" s="18">
        <v>0.74</v>
      </c>
      <c r="F2090" s="18">
        <v>0.81</v>
      </c>
      <c r="G2090" s="20" t="s">
        <v>4859</v>
      </c>
      <c r="H2090" s="19" t="str">
        <f>HYPERLINK("https://elefant.by/catalogue/656005939","Посмотреть на сайте ...")</f>
        <v>Посмотреть на сайте ...</v>
      </c>
    </row>
    <row r="2091" spans="1:8" s="16" customFormat="1" x14ac:dyDescent="0.25">
      <c r="A2091" s="17">
        <v>2081</v>
      </c>
      <c r="B2091" s="17" t="s">
        <v>13</v>
      </c>
      <c r="C2091" s="17" t="s">
        <v>3806</v>
      </c>
      <c r="D2091" s="18">
        <v>60</v>
      </c>
      <c r="E2091" s="18">
        <v>0.74</v>
      </c>
      <c r="F2091" s="18">
        <v>0.81</v>
      </c>
      <c r="G2091" s="20" t="s">
        <v>4860</v>
      </c>
      <c r="H2091" s="19" t="str">
        <f>HYPERLINK("https://elefant.by/catalogue/656880893","Посмотреть на сайте ...")</f>
        <v>Посмотреть на сайте ...</v>
      </c>
    </row>
    <row r="2092" spans="1:8" s="16" customFormat="1" x14ac:dyDescent="0.25">
      <c r="A2092" s="17">
        <v>2082</v>
      </c>
      <c r="B2092" s="17" t="s">
        <v>13</v>
      </c>
      <c r="C2092" s="17" t="s">
        <v>3807</v>
      </c>
      <c r="D2092" s="18">
        <v>60</v>
      </c>
      <c r="E2092" s="18">
        <v>0.74</v>
      </c>
      <c r="F2092" s="18">
        <v>0.81</v>
      </c>
      <c r="G2092" s="20" t="s">
        <v>4861</v>
      </c>
      <c r="H2092" s="19" t="str">
        <f>HYPERLINK("https://elefant.by/catalogue/656005944","Посмотреть на сайте ...")</f>
        <v>Посмотреть на сайте ...</v>
      </c>
    </row>
    <row r="2093" spans="1:8" s="16" customFormat="1" x14ac:dyDescent="0.25">
      <c r="A2093" s="17">
        <v>2083</v>
      </c>
      <c r="B2093" s="17" t="s">
        <v>13</v>
      </c>
      <c r="C2093" s="17" t="s">
        <v>3808</v>
      </c>
      <c r="D2093" s="18">
        <v>60</v>
      </c>
      <c r="E2093" s="18">
        <v>0.74</v>
      </c>
      <c r="F2093" s="18">
        <v>0.81</v>
      </c>
      <c r="G2093" s="20" t="s">
        <v>4862</v>
      </c>
      <c r="H2093" s="19" t="str">
        <f>HYPERLINK("https://elefant.by/catalogue/656005942","Посмотреть на сайте ...")</f>
        <v>Посмотреть на сайте ...</v>
      </c>
    </row>
    <row r="2094" spans="1:8" s="16" customFormat="1" x14ac:dyDescent="0.25">
      <c r="A2094" s="17">
        <v>2084</v>
      </c>
      <c r="B2094" s="17" t="s">
        <v>13</v>
      </c>
      <c r="C2094" s="17" t="s">
        <v>3809</v>
      </c>
      <c r="D2094" s="18">
        <v>60</v>
      </c>
      <c r="E2094" s="18">
        <v>0.74</v>
      </c>
      <c r="F2094" s="18">
        <v>0.81</v>
      </c>
      <c r="G2094" s="20" t="s">
        <v>4863</v>
      </c>
      <c r="H2094" s="19" t="str">
        <f>HYPERLINK("https://elefant.by/catalogue/656880894","Посмотреть на сайте ...")</f>
        <v>Посмотреть на сайте ...</v>
      </c>
    </row>
    <row r="2095" spans="1:8" s="16" customFormat="1" x14ac:dyDescent="0.25">
      <c r="A2095" s="17">
        <v>2085</v>
      </c>
      <c r="B2095" s="17" t="s">
        <v>2915</v>
      </c>
      <c r="C2095" s="17" t="s">
        <v>3810</v>
      </c>
      <c r="D2095" s="18">
        <v>60</v>
      </c>
      <c r="E2095" s="18">
        <v>0.79</v>
      </c>
      <c r="F2095" s="18">
        <v>0.87</v>
      </c>
      <c r="G2095" s="20" t="s">
        <v>4864</v>
      </c>
      <c r="H2095" s="19" t="str">
        <f>HYPERLINK("https://elefant.by/catalogue/666727927","Посмотреть на сайте ...")</f>
        <v>Посмотреть на сайте ...</v>
      </c>
    </row>
    <row r="2096" spans="1:8" s="16" customFormat="1" x14ac:dyDescent="0.25">
      <c r="A2096" s="17">
        <v>2086</v>
      </c>
      <c r="B2096" s="17" t="s">
        <v>2915</v>
      </c>
      <c r="C2096" s="17" t="s">
        <v>3811</v>
      </c>
      <c r="D2096" s="18">
        <v>60</v>
      </c>
      <c r="E2096" s="18">
        <v>0.79</v>
      </c>
      <c r="F2096" s="18">
        <v>0.87</v>
      </c>
      <c r="G2096" s="20" t="s">
        <v>4865</v>
      </c>
      <c r="H2096" s="19" t="str">
        <f>HYPERLINK("https://elefant.by/catalogue/666727926","Посмотреть на сайте ...")</f>
        <v>Посмотреть на сайте ...</v>
      </c>
    </row>
    <row r="2097" spans="1:8" s="16" customFormat="1" x14ac:dyDescent="0.25">
      <c r="A2097" s="17">
        <v>2087</v>
      </c>
      <c r="B2097" s="17" t="s">
        <v>2915</v>
      </c>
      <c r="C2097" s="17" t="s">
        <v>3812</v>
      </c>
      <c r="D2097" s="18">
        <v>60</v>
      </c>
      <c r="E2097" s="18">
        <v>0.79</v>
      </c>
      <c r="F2097" s="18">
        <v>0.87</v>
      </c>
      <c r="G2097" s="20" t="s">
        <v>4866</v>
      </c>
      <c r="H2097" s="19" t="str">
        <f>HYPERLINK("https://elefant.by/catalogue/666727921","Посмотреть на сайте ...")</f>
        <v>Посмотреть на сайте ...</v>
      </c>
    </row>
    <row r="2098" spans="1:8" s="16" customFormat="1" x14ac:dyDescent="0.25">
      <c r="A2098" s="17">
        <v>2088</v>
      </c>
      <c r="B2098" s="17" t="s">
        <v>2915</v>
      </c>
      <c r="C2098" s="17" t="s">
        <v>3813</v>
      </c>
      <c r="D2098" s="18">
        <v>60</v>
      </c>
      <c r="E2098" s="18">
        <v>0.79</v>
      </c>
      <c r="F2098" s="18">
        <v>0.87</v>
      </c>
      <c r="G2098" s="20" t="s">
        <v>4867</v>
      </c>
      <c r="H2098" s="19" t="str">
        <f>HYPERLINK("https://elefant.by/catalogue/666727925","Посмотреть на сайте ...")</f>
        <v>Посмотреть на сайте ...</v>
      </c>
    </row>
    <row r="2099" spans="1:8" s="16" customFormat="1" x14ac:dyDescent="0.25">
      <c r="A2099" s="17">
        <v>2089</v>
      </c>
      <c r="B2099" s="17" t="s">
        <v>2915</v>
      </c>
      <c r="C2099" s="17" t="s">
        <v>3814</v>
      </c>
      <c r="D2099" s="18">
        <v>60</v>
      </c>
      <c r="E2099" s="18">
        <v>0.79</v>
      </c>
      <c r="F2099" s="18">
        <v>0.87</v>
      </c>
      <c r="G2099" s="20" t="s">
        <v>4868</v>
      </c>
      <c r="H2099" s="19" t="str">
        <f>HYPERLINK("https://elefant.by/catalogue/666727923","Посмотреть на сайте ...")</f>
        <v>Посмотреть на сайте ...</v>
      </c>
    </row>
    <row r="2100" spans="1:8" s="16" customFormat="1" x14ac:dyDescent="0.25">
      <c r="A2100" s="17">
        <v>2090</v>
      </c>
      <c r="B2100" s="17" t="s">
        <v>2915</v>
      </c>
      <c r="C2100" s="17" t="s">
        <v>3815</v>
      </c>
      <c r="D2100" s="18">
        <v>60</v>
      </c>
      <c r="E2100" s="18">
        <v>0.79</v>
      </c>
      <c r="F2100" s="18">
        <v>0.87</v>
      </c>
      <c r="G2100" s="20" t="s">
        <v>4869</v>
      </c>
      <c r="H2100" s="19" t="str">
        <f>HYPERLINK("https://elefant.by/catalogue/666727922","Посмотреть на сайте ...")</f>
        <v>Посмотреть на сайте ...</v>
      </c>
    </row>
    <row r="2101" spans="1:8" s="16" customFormat="1" x14ac:dyDescent="0.25">
      <c r="A2101" s="17">
        <v>2091</v>
      </c>
      <c r="B2101" s="17" t="s">
        <v>2915</v>
      </c>
      <c r="C2101" s="17" t="s">
        <v>3816</v>
      </c>
      <c r="D2101" s="18">
        <v>60</v>
      </c>
      <c r="E2101" s="18">
        <v>0.79</v>
      </c>
      <c r="F2101" s="18">
        <v>0.87</v>
      </c>
      <c r="G2101" s="20" t="s">
        <v>4870</v>
      </c>
      <c r="H2101" s="19" t="str">
        <f>HYPERLINK("https://elefant.by/catalogue/666687052","Посмотреть на сайте ...")</f>
        <v>Посмотреть на сайте ...</v>
      </c>
    </row>
    <row r="2102" spans="1:8" s="16" customFormat="1" x14ac:dyDescent="0.25">
      <c r="A2102" s="17">
        <v>2092</v>
      </c>
      <c r="B2102" s="17" t="s">
        <v>2915</v>
      </c>
      <c r="C2102" s="17" t="s">
        <v>3817</v>
      </c>
      <c r="D2102" s="18">
        <v>60</v>
      </c>
      <c r="E2102" s="18">
        <v>0.79</v>
      </c>
      <c r="F2102" s="18">
        <v>0.87</v>
      </c>
      <c r="G2102" s="20" t="s">
        <v>4871</v>
      </c>
      <c r="H2102" s="19" t="str">
        <f>HYPERLINK("https://elefant.by/catalogue/666727924","Посмотреть на сайте ...")</f>
        <v>Посмотреть на сайте ...</v>
      </c>
    </row>
    <row r="2103" spans="1:8" s="16" customFormat="1" x14ac:dyDescent="0.25">
      <c r="A2103" s="17">
        <v>2093</v>
      </c>
      <c r="B2103" s="17" t="s">
        <v>87</v>
      </c>
      <c r="C2103" s="17" t="s">
        <v>3818</v>
      </c>
      <c r="D2103" s="18">
        <v>100</v>
      </c>
      <c r="E2103" s="18">
        <v>0.67</v>
      </c>
      <c r="F2103" s="18">
        <v>0.74</v>
      </c>
      <c r="G2103" s="20" t="s">
        <v>4872</v>
      </c>
      <c r="H2103" s="19" t="str">
        <f>HYPERLINK("https://elefant.by/catalogue/255047013","Посмотреть на сайте ...")</f>
        <v>Посмотреть на сайте ...</v>
      </c>
    </row>
    <row r="2104" spans="1:8" s="16" customFormat="1" x14ac:dyDescent="0.25">
      <c r="A2104" s="17">
        <v>2094</v>
      </c>
      <c r="B2104" s="17" t="s">
        <v>13</v>
      </c>
      <c r="C2104" s="17" t="s">
        <v>2459</v>
      </c>
      <c r="D2104" s="18">
        <v>60</v>
      </c>
      <c r="E2104" s="18">
        <v>0.75</v>
      </c>
      <c r="F2104" s="18">
        <v>0.83</v>
      </c>
      <c r="G2104" s="20" t="s">
        <v>2460</v>
      </c>
      <c r="H2104" s="19" t="str">
        <f>HYPERLINK("https://elefant.by/catalogue/567605026","Посмотреть на сайте ...")</f>
        <v>Посмотреть на сайте ...</v>
      </c>
    </row>
    <row r="2105" spans="1:8" s="16" customFormat="1" x14ac:dyDescent="0.25">
      <c r="A2105" s="17">
        <v>2095</v>
      </c>
      <c r="B2105" s="17" t="s">
        <v>13</v>
      </c>
      <c r="C2105" s="17" t="s">
        <v>3819</v>
      </c>
      <c r="D2105" s="18">
        <v>60</v>
      </c>
      <c r="E2105" s="18">
        <v>0.7</v>
      </c>
      <c r="F2105" s="18">
        <v>0.77</v>
      </c>
      <c r="G2105" s="20" t="s">
        <v>4873</v>
      </c>
      <c r="H2105" s="19" t="str">
        <f>HYPERLINK("https://elefant.by/catalogue/650438884","Посмотреть на сайте ...")</f>
        <v>Посмотреть на сайте ...</v>
      </c>
    </row>
    <row r="2106" spans="1:8" s="16" customFormat="1" x14ac:dyDescent="0.25">
      <c r="A2106" s="17">
        <v>2096</v>
      </c>
      <c r="B2106" s="17" t="s">
        <v>13</v>
      </c>
      <c r="C2106" s="17" t="s">
        <v>3820</v>
      </c>
      <c r="D2106" s="18">
        <v>60</v>
      </c>
      <c r="E2106" s="18">
        <v>0.75</v>
      </c>
      <c r="F2106" s="18">
        <v>0.83</v>
      </c>
      <c r="G2106" s="20" t="s">
        <v>4874</v>
      </c>
      <c r="H2106" s="19" t="str">
        <f>HYPERLINK("https://elefant.by/catalogue/650438885","Посмотреть на сайте ...")</f>
        <v>Посмотреть на сайте ...</v>
      </c>
    </row>
    <row r="2107" spans="1:8" s="16" customFormat="1" x14ac:dyDescent="0.25">
      <c r="A2107" s="17">
        <v>2097</v>
      </c>
      <c r="B2107" s="17" t="s">
        <v>13</v>
      </c>
      <c r="C2107" s="17" t="s">
        <v>3821</v>
      </c>
      <c r="D2107" s="18">
        <v>60</v>
      </c>
      <c r="E2107" s="18">
        <v>0.74</v>
      </c>
      <c r="F2107" s="18">
        <v>0.81</v>
      </c>
      <c r="G2107" s="20" t="s">
        <v>4875</v>
      </c>
      <c r="H2107" s="19" t="str">
        <f>HYPERLINK("https://elefant.by/catalogue/656005941","Посмотреть на сайте ...")</f>
        <v>Посмотреть на сайте ...</v>
      </c>
    </row>
    <row r="2108" spans="1:8" s="16" customFormat="1" x14ac:dyDescent="0.25">
      <c r="A2108" s="17">
        <v>2098</v>
      </c>
      <c r="B2108" s="17" t="s">
        <v>2915</v>
      </c>
      <c r="C2108" s="17" t="s">
        <v>3822</v>
      </c>
      <c r="D2108" s="18">
        <v>60</v>
      </c>
      <c r="E2108" s="18">
        <v>0.79</v>
      </c>
      <c r="F2108" s="18">
        <v>0.87</v>
      </c>
      <c r="G2108" s="20" t="s">
        <v>4876</v>
      </c>
      <c r="H2108" s="19" t="str">
        <f>HYPERLINK("https://elefant.by/catalogue/666727920","Посмотреть на сайте ...")</f>
        <v>Посмотреть на сайте ...</v>
      </c>
    </row>
    <row r="2109" spans="1:8" s="16" customFormat="1" x14ac:dyDescent="0.25">
      <c r="A2109" s="17">
        <v>2099</v>
      </c>
      <c r="B2109" s="17" t="s">
        <v>2915</v>
      </c>
      <c r="C2109" s="17" t="s">
        <v>3823</v>
      </c>
      <c r="D2109" s="18">
        <v>60</v>
      </c>
      <c r="E2109" s="18">
        <v>0.79</v>
      </c>
      <c r="F2109" s="18">
        <v>0.87</v>
      </c>
      <c r="G2109" s="20" t="s">
        <v>4877</v>
      </c>
      <c r="H2109" s="19" t="str">
        <f>HYPERLINK("https://elefant.by/catalogue/666727928","Посмотреть на сайте ...")</f>
        <v>Посмотреть на сайте ...</v>
      </c>
    </row>
    <row r="2110" spans="1:8" s="16" customFormat="1" x14ac:dyDescent="0.25">
      <c r="A2110" s="17">
        <v>2100</v>
      </c>
      <c r="B2110" s="17" t="s">
        <v>13</v>
      </c>
      <c r="C2110" s="17" t="s">
        <v>3824</v>
      </c>
      <c r="D2110" s="18">
        <v>15</v>
      </c>
      <c r="E2110" s="18">
        <v>0.97</v>
      </c>
      <c r="F2110" s="18">
        <v>1.07</v>
      </c>
      <c r="G2110" s="20" t="s">
        <v>4878</v>
      </c>
      <c r="H2110" s="19" t="str">
        <f>HYPERLINK("https://elefant.by/catalogue/547255668","Посмотреть на сайте ...")</f>
        <v>Посмотреть на сайте ...</v>
      </c>
    </row>
    <row r="2111" spans="1:8" s="16" customFormat="1" x14ac:dyDescent="0.25">
      <c r="A2111" s="17">
        <v>2101</v>
      </c>
      <c r="B2111" s="17" t="s">
        <v>13</v>
      </c>
      <c r="C2111" s="17" t="s">
        <v>2461</v>
      </c>
      <c r="D2111" s="18">
        <v>15</v>
      </c>
      <c r="E2111" s="18">
        <v>0.97</v>
      </c>
      <c r="F2111" s="18">
        <v>1.07</v>
      </c>
      <c r="G2111" s="20" t="s">
        <v>2462</v>
      </c>
      <c r="H2111" s="19" t="str">
        <f>HYPERLINK("https://elefant.by/catalogue/595377186","Посмотреть на сайте ...")</f>
        <v>Посмотреть на сайте ...</v>
      </c>
    </row>
    <row r="2112" spans="1:8" s="16" customFormat="1" x14ac:dyDescent="0.25">
      <c r="A2112" s="17">
        <v>2102</v>
      </c>
      <c r="B2112" s="17" t="s">
        <v>13</v>
      </c>
      <c r="C2112" s="17" t="s">
        <v>3825</v>
      </c>
      <c r="D2112" s="18">
        <v>25</v>
      </c>
      <c r="E2112" s="18">
        <v>1.01</v>
      </c>
      <c r="F2112" s="18">
        <v>1.1100000000000001</v>
      </c>
      <c r="G2112" s="20" t="s">
        <v>4879</v>
      </c>
      <c r="H2112" s="19" t="str">
        <f>HYPERLINK("https://elefant.by/catalogue/677923147","Посмотреть на сайте ...")</f>
        <v>Посмотреть на сайте ...</v>
      </c>
    </row>
    <row r="2113" spans="1:8" s="16" customFormat="1" x14ac:dyDescent="0.25">
      <c r="A2113" s="17">
        <v>2103</v>
      </c>
      <c r="B2113" s="17" t="s">
        <v>2915</v>
      </c>
      <c r="C2113" s="17" t="s">
        <v>3826</v>
      </c>
      <c r="D2113" s="18">
        <v>24</v>
      </c>
      <c r="E2113" s="18">
        <v>1.07</v>
      </c>
      <c r="F2113" s="18">
        <v>1.18</v>
      </c>
      <c r="G2113" s="20" t="s">
        <v>4880</v>
      </c>
      <c r="H2113" s="19" t="str">
        <f>HYPERLINK("https://elefant.by/catalogue/671048818","Посмотреть на сайте ...")</f>
        <v>Посмотреть на сайте ...</v>
      </c>
    </row>
    <row r="2114" spans="1:8" s="16" customFormat="1" x14ac:dyDescent="0.25">
      <c r="A2114" s="17">
        <v>2104</v>
      </c>
      <c r="B2114" s="17" t="s">
        <v>2915</v>
      </c>
      <c r="C2114" s="17" t="s">
        <v>3827</v>
      </c>
      <c r="D2114" s="18">
        <v>24</v>
      </c>
      <c r="E2114" s="18">
        <v>1.07</v>
      </c>
      <c r="F2114" s="18">
        <v>1.18</v>
      </c>
      <c r="G2114" s="20" t="s">
        <v>4881</v>
      </c>
      <c r="H2114" s="19" t="str">
        <f>HYPERLINK("https://elefant.by/catalogue/656601577","Посмотреть на сайте ...")</f>
        <v>Посмотреть на сайте ...</v>
      </c>
    </row>
    <row r="2115" spans="1:8" s="16" customFormat="1" x14ac:dyDescent="0.25">
      <c r="A2115" s="17">
        <v>2105</v>
      </c>
      <c r="B2115" s="17" t="s">
        <v>2915</v>
      </c>
      <c r="C2115" s="17" t="s">
        <v>3828</v>
      </c>
      <c r="D2115" s="18">
        <v>24</v>
      </c>
      <c r="E2115" s="18">
        <v>1.07</v>
      </c>
      <c r="F2115" s="18">
        <v>1.18</v>
      </c>
      <c r="G2115" s="20" t="s">
        <v>4882</v>
      </c>
      <c r="H2115" s="19" t="str">
        <f>HYPERLINK("https://elefant.by/catalogue/656601576","Посмотреть на сайте ...")</f>
        <v>Посмотреть на сайте ...</v>
      </c>
    </row>
    <row r="2116" spans="1:8" s="16" customFormat="1" x14ac:dyDescent="0.25">
      <c r="A2116" s="17">
        <v>2106</v>
      </c>
      <c r="B2116" s="17" t="s">
        <v>2915</v>
      </c>
      <c r="C2116" s="17" t="s">
        <v>3829</v>
      </c>
      <c r="D2116" s="18">
        <v>24</v>
      </c>
      <c r="E2116" s="18">
        <v>1.07</v>
      </c>
      <c r="F2116" s="18">
        <v>1.18</v>
      </c>
      <c r="G2116" s="20" t="s">
        <v>4883</v>
      </c>
      <c r="H2116" s="19" t="str">
        <f>HYPERLINK("https://elefant.by/catalogue/656601578","Посмотреть на сайте ...")</f>
        <v>Посмотреть на сайте ...</v>
      </c>
    </row>
    <row r="2117" spans="1:8" s="16" customFormat="1" x14ac:dyDescent="0.25">
      <c r="A2117" s="17">
        <v>2107</v>
      </c>
      <c r="B2117" s="17" t="s">
        <v>2915</v>
      </c>
      <c r="C2117" s="17" t="s">
        <v>3830</v>
      </c>
      <c r="D2117" s="18">
        <v>24</v>
      </c>
      <c r="E2117" s="18">
        <v>1.07</v>
      </c>
      <c r="F2117" s="18">
        <v>1.18</v>
      </c>
      <c r="G2117" s="20" t="s">
        <v>4884</v>
      </c>
      <c r="H2117" s="19" t="str">
        <f>HYPERLINK("https://elefant.by/catalogue/665932768","Посмотреть на сайте ...")</f>
        <v>Посмотреть на сайте ...</v>
      </c>
    </row>
    <row r="2118" spans="1:8" s="16" customFormat="1" x14ac:dyDescent="0.25">
      <c r="A2118" s="17">
        <v>2108</v>
      </c>
      <c r="B2118" s="17" t="s">
        <v>87</v>
      </c>
      <c r="C2118" s="17" t="s">
        <v>3831</v>
      </c>
      <c r="D2118" s="18">
        <v>60</v>
      </c>
      <c r="E2118" s="18">
        <v>1.43</v>
      </c>
      <c r="F2118" s="18">
        <v>1.57</v>
      </c>
      <c r="G2118" s="20" t="s">
        <v>4885</v>
      </c>
      <c r="H2118" s="19" t="str">
        <f>HYPERLINK("https://elefant.by/catalogue/648139482","Посмотреть на сайте ...")</f>
        <v>Посмотреть на сайте ...</v>
      </c>
    </row>
    <row r="2119" spans="1:8" s="16" customFormat="1" x14ac:dyDescent="0.25">
      <c r="A2119" s="17">
        <v>2109</v>
      </c>
      <c r="B2119" s="17" t="s">
        <v>87</v>
      </c>
      <c r="C2119" s="17" t="s">
        <v>3832</v>
      </c>
      <c r="D2119" s="18">
        <v>60</v>
      </c>
      <c r="E2119" s="18">
        <v>1.43</v>
      </c>
      <c r="F2119" s="18">
        <v>1.57</v>
      </c>
      <c r="G2119" s="20" t="s">
        <v>4886</v>
      </c>
      <c r="H2119" s="19" t="str">
        <f>HYPERLINK("https://elefant.by/catalogue/490494366","Посмотреть на сайте ...")</f>
        <v>Посмотреть на сайте ...</v>
      </c>
    </row>
    <row r="2120" spans="1:8" s="16" customFormat="1" x14ac:dyDescent="0.25">
      <c r="A2120" s="17">
        <v>2110</v>
      </c>
      <c r="B2120" s="17" t="s">
        <v>87</v>
      </c>
      <c r="C2120" s="17" t="s">
        <v>3833</v>
      </c>
      <c r="D2120" s="18">
        <v>60</v>
      </c>
      <c r="E2120" s="18">
        <v>1.47</v>
      </c>
      <c r="F2120" s="18">
        <v>1.62</v>
      </c>
      <c r="G2120" s="20" t="s">
        <v>4887</v>
      </c>
      <c r="H2120" s="19" t="str">
        <f>HYPERLINK("https://elefant.by/catalogue/656622151","Посмотреть на сайте ...")</f>
        <v>Посмотреть на сайте ...</v>
      </c>
    </row>
    <row r="2121" spans="1:8" s="16" customFormat="1" x14ac:dyDescent="0.25">
      <c r="A2121" s="17">
        <v>2111</v>
      </c>
      <c r="B2121" s="17" t="s">
        <v>87</v>
      </c>
      <c r="C2121" s="17" t="s">
        <v>3834</v>
      </c>
      <c r="D2121" s="18">
        <v>60</v>
      </c>
      <c r="E2121" s="18">
        <v>1.43</v>
      </c>
      <c r="F2121" s="18">
        <v>1.57</v>
      </c>
      <c r="G2121" s="20" t="s">
        <v>4888</v>
      </c>
      <c r="H2121" s="19" t="str">
        <f>HYPERLINK("https://elefant.by/catalogue/648139483","Посмотреть на сайте ...")</f>
        <v>Посмотреть на сайте ...</v>
      </c>
    </row>
    <row r="2122" spans="1:8" s="16" customFormat="1" x14ac:dyDescent="0.25">
      <c r="A2122" s="17">
        <v>2112</v>
      </c>
      <c r="B2122" s="17" t="s">
        <v>2915</v>
      </c>
      <c r="C2122" s="17" t="s">
        <v>3835</v>
      </c>
      <c r="D2122" s="18">
        <v>20</v>
      </c>
      <c r="E2122" s="18">
        <v>1.22</v>
      </c>
      <c r="F2122" s="18">
        <v>1.34</v>
      </c>
      <c r="G2122" s="20" t="s">
        <v>4889</v>
      </c>
      <c r="H2122" s="19" t="str">
        <f>HYPERLINK("https://elefant.by/catalogue/671048819","Посмотреть на сайте ...")</f>
        <v>Посмотреть на сайте ...</v>
      </c>
    </row>
    <row r="2123" spans="1:8" s="16" customFormat="1" x14ac:dyDescent="0.25">
      <c r="A2123" s="17">
        <v>2113</v>
      </c>
      <c r="B2123" s="17" t="s">
        <v>2915</v>
      </c>
      <c r="C2123" s="17" t="s">
        <v>3836</v>
      </c>
      <c r="D2123" s="18">
        <v>20</v>
      </c>
      <c r="E2123" s="18">
        <v>1.22</v>
      </c>
      <c r="F2123" s="18">
        <v>1.34</v>
      </c>
      <c r="G2123" s="20" t="s">
        <v>4890</v>
      </c>
      <c r="H2123" s="19" t="str">
        <f>HYPERLINK("https://elefant.by/catalogue/671048820","Посмотреть на сайте ...")</f>
        <v>Посмотреть на сайте ...</v>
      </c>
    </row>
    <row r="2124" spans="1:8" s="16" customFormat="1" x14ac:dyDescent="0.25">
      <c r="A2124" s="17">
        <v>2114</v>
      </c>
      <c r="B2124" s="17" t="s">
        <v>87</v>
      </c>
      <c r="C2124" s="17" t="s">
        <v>2463</v>
      </c>
      <c r="D2124" s="18">
        <v>60</v>
      </c>
      <c r="E2124" s="18">
        <v>1.23</v>
      </c>
      <c r="F2124" s="18">
        <v>1.35</v>
      </c>
      <c r="G2124" s="20" t="s">
        <v>2464</v>
      </c>
      <c r="H2124" s="19" t="str">
        <f>HYPERLINK("https://elefant.by/catalogue/440915327","Посмотреть на сайте ...")</f>
        <v>Посмотреть на сайте ...</v>
      </c>
    </row>
    <row r="2125" spans="1:8" s="16" customFormat="1" x14ac:dyDescent="0.25">
      <c r="A2125" s="17">
        <v>2115</v>
      </c>
      <c r="B2125" s="17" t="s">
        <v>87</v>
      </c>
      <c r="C2125" s="17" t="s">
        <v>3837</v>
      </c>
      <c r="D2125" s="18">
        <v>60</v>
      </c>
      <c r="E2125" s="18">
        <v>1.23</v>
      </c>
      <c r="F2125" s="18">
        <v>1.35</v>
      </c>
      <c r="G2125" s="20" t="s">
        <v>4891</v>
      </c>
      <c r="H2125" s="19" t="str">
        <f>HYPERLINK("https://elefant.by/catalogue/651440575","Посмотреть на сайте ...")</f>
        <v>Посмотреть на сайте ...</v>
      </c>
    </row>
    <row r="2126" spans="1:8" s="16" customFormat="1" x14ac:dyDescent="0.25">
      <c r="A2126" s="17">
        <v>2116</v>
      </c>
      <c r="B2126" s="17" t="s">
        <v>13</v>
      </c>
      <c r="C2126" s="17" t="s">
        <v>3838</v>
      </c>
      <c r="D2126" s="18">
        <v>30</v>
      </c>
      <c r="E2126" s="18">
        <v>1.37</v>
      </c>
      <c r="F2126" s="18">
        <v>1.51</v>
      </c>
      <c r="G2126" s="20" t="s">
        <v>4892</v>
      </c>
      <c r="H2126" s="19" t="str">
        <f>HYPERLINK("https://elefant.by/catalogue/674456908","Посмотреть на сайте ...")</f>
        <v>Посмотреть на сайте ...</v>
      </c>
    </row>
    <row r="2127" spans="1:8" s="16" customFormat="1" x14ac:dyDescent="0.25">
      <c r="A2127" s="17">
        <v>2117</v>
      </c>
      <c r="B2127" s="17" t="s">
        <v>13</v>
      </c>
      <c r="C2127" s="17" t="s">
        <v>3839</v>
      </c>
      <c r="D2127" s="18">
        <v>30</v>
      </c>
      <c r="E2127" s="18">
        <v>1.41</v>
      </c>
      <c r="F2127" s="18">
        <v>1.55</v>
      </c>
      <c r="G2127" s="20" t="s">
        <v>4893</v>
      </c>
      <c r="H2127" s="19" t="str">
        <f>HYPERLINK("https://elefant.by/catalogue/703823478","Посмотреть на сайте ...")</f>
        <v>Посмотреть на сайте ...</v>
      </c>
    </row>
    <row r="2128" spans="1:8" s="16" customFormat="1" x14ac:dyDescent="0.25">
      <c r="A2128" s="17">
        <v>2118</v>
      </c>
      <c r="B2128" s="17" t="s">
        <v>13</v>
      </c>
      <c r="C2128" s="17" t="s">
        <v>3840</v>
      </c>
      <c r="D2128" s="18">
        <v>30</v>
      </c>
      <c r="E2128" s="18">
        <v>1.32</v>
      </c>
      <c r="F2128" s="18">
        <v>1.45</v>
      </c>
      <c r="G2128" s="20" t="s">
        <v>4894</v>
      </c>
      <c r="H2128" s="19" t="str">
        <f>HYPERLINK("https://elefant.by/catalogue/660438771","Посмотреть на сайте ...")</f>
        <v>Посмотреть на сайте ...</v>
      </c>
    </row>
    <row r="2129" spans="1:8" s="16" customFormat="1" x14ac:dyDescent="0.25">
      <c r="A2129" s="17">
        <v>2119</v>
      </c>
      <c r="B2129" s="17" t="s">
        <v>13</v>
      </c>
      <c r="C2129" s="17" t="s">
        <v>2465</v>
      </c>
      <c r="D2129" s="18">
        <v>30</v>
      </c>
      <c r="E2129" s="18">
        <v>1.32</v>
      </c>
      <c r="F2129" s="18">
        <v>1.45</v>
      </c>
      <c r="G2129" s="20" t="s">
        <v>2466</v>
      </c>
      <c r="H2129" s="19" t="str">
        <f>HYPERLINK("https://elefant.by/catalogue/634242270","Посмотреть на сайте ...")</f>
        <v>Посмотреть на сайте ...</v>
      </c>
    </row>
    <row r="2130" spans="1:8" s="16" customFormat="1" x14ac:dyDescent="0.25">
      <c r="A2130" s="17">
        <v>2120</v>
      </c>
      <c r="B2130" s="17" t="s">
        <v>13</v>
      </c>
      <c r="C2130" s="17" t="s">
        <v>2467</v>
      </c>
      <c r="D2130" s="18">
        <v>30</v>
      </c>
      <c r="E2130" s="18">
        <v>1.32</v>
      </c>
      <c r="F2130" s="18">
        <v>1.45</v>
      </c>
      <c r="G2130" s="20" t="s">
        <v>2468</v>
      </c>
      <c r="H2130" s="19" t="str">
        <f>HYPERLINK("https://elefant.by/catalogue/611525110","Посмотреть на сайте ...")</f>
        <v>Посмотреть на сайте ...</v>
      </c>
    </row>
    <row r="2131" spans="1:8" s="16" customFormat="1" x14ac:dyDescent="0.25">
      <c r="A2131" s="17">
        <v>2121</v>
      </c>
      <c r="B2131" s="17" t="s">
        <v>13</v>
      </c>
      <c r="C2131" s="17" t="s">
        <v>3841</v>
      </c>
      <c r="D2131" s="18">
        <v>30</v>
      </c>
      <c r="E2131" s="18">
        <v>1.32</v>
      </c>
      <c r="F2131" s="18">
        <v>1.45</v>
      </c>
      <c r="G2131" s="20" t="s">
        <v>4895</v>
      </c>
      <c r="H2131" s="19" t="str">
        <f>HYPERLINK("https://elefant.by/catalogue/660438772","Посмотреть на сайте ...")</f>
        <v>Посмотреть на сайте ...</v>
      </c>
    </row>
    <row r="2132" spans="1:8" s="16" customFormat="1" x14ac:dyDescent="0.25">
      <c r="A2132" s="17">
        <v>2122</v>
      </c>
      <c r="B2132" s="17" t="s">
        <v>13</v>
      </c>
      <c r="C2132" s="17" t="s">
        <v>3842</v>
      </c>
      <c r="D2132" s="18">
        <v>30</v>
      </c>
      <c r="E2132" s="18">
        <v>1.32</v>
      </c>
      <c r="F2132" s="18">
        <v>1.45</v>
      </c>
      <c r="G2132" s="20" t="s">
        <v>4896</v>
      </c>
      <c r="H2132" s="19" t="str">
        <f>HYPERLINK("https://elefant.by/catalogue/660438773","Посмотреть на сайте ...")</f>
        <v>Посмотреть на сайте ...</v>
      </c>
    </row>
    <row r="2133" spans="1:8" s="16" customFormat="1" x14ac:dyDescent="0.25">
      <c r="A2133" s="17">
        <v>2123</v>
      </c>
      <c r="B2133" s="17" t="s">
        <v>13</v>
      </c>
      <c r="C2133" s="17" t="s">
        <v>3843</v>
      </c>
      <c r="D2133" s="18">
        <v>30</v>
      </c>
      <c r="E2133" s="18">
        <v>1.32</v>
      </c>
      <c r="F2133" s="18">
        <v>1.45</v>
      </c>
      <c r="G2133" s="20" t="s">
        <v>4897</v>
      </c>
      <c r="H2133" s="19" t="str">
        <f>HYPERLINK("https://elefant.by/catalogue/660438774","Посмотреть на сайте ...")</f>
        <v>Посмотреть на сайте ...</v>
      </c>
    </row>
    <row r="2134" spans="1:8" s="16" customFormat="1" x14ac:dyDescent="0.25">
      <c r="A2134" s="17">
        <v>2124</v>
      </c>
      <c r="B2134" s="17" t="s">
        <v>13</v>
      </c>
      <c r="C2134" s="17" t="s">
        <v>3844</v>
      </c>
      <c r="D2134" s="18">
        <v>30</v>
      </c>
      <c r="E2134" s="18">
        <v>1.32</v>
      </c>
      <c r="F2134" s="18">
        <v>1.45</v>
      </c>
      <c r="G2134" s="20" t="s">
        <v>4898</v>
      </c>
      <c r="H2134" s="19" t="str">
        <f>HYPERLINK("https://elefant.by/catalogue/660438775","Посмотреть на сайте ...")</f>
        <v>Посмотреть на сайте ...</v>
      </c>
    </row>
    <row r="2135" spans="1:8" s="16" customFormat="1" x14ac:dyDescent="0.25">
      <c r="A2135" s="17">
        <v>2125</v>
      </c>
      <c r="B2135" s="17" t="s">
        <v>13</v>
      </c>
      <c r="C2135" s="17" t="s">
        <v>3845</v>
      </c>
      <c r="D2135" s="18">
        <v>30</v>
      </c>
      <c r="E2135" s="18">
        <v>1.32</v>
      </c>
      <c r="F2135" s="18">
        <v>1.45</v>
      </c>
      <c r="G2135" s="20" t="s">
        <v>4899</v>
      </c>
      <c r="H2135" s="19" t="str">
        <f>HYPERLINK("https://elefant.by/catalogue/660438777","Посмотреть на сайте ...")</f>
        <v>Посмотреть на сайте ...</v>
      </c>
    </row>
    <row r="2136" spans="1:8" s="16" customFormat="1" x14ac:dyDescent="0.25">
      <c r="A2136" s="17">
        <v>2126</v>
      </c>
      <c r="B2136" s="17" t="s">
        <v>13</v>
      </c>
      <c r="C2136" s="17" t="s">
        <v>3846</v>
      </c>
      <c r="D2136" s="18">
        <v>30</v>
      </c>
      <c r="E2136" s="18">
        <v>1.32</v>
      </c>
      <c r="F2136" s="18">
        <v>1.45</v>
      </c>
      <c r="G2136" s="20" t="s">
        <v>4900</v>
      </c>
      <c r="H2136" s="19" t="str">
        <f>HYPERLINK("https://elefant.by/catalogue/569121214","Посмотреть на сайте ...")</f>
        <v>Посмотреть на сайте ...</v>
      </c>
    </row>
    <row r="2137" spans="1:8" s="16" customFormat="1" x14ac:dyDescent="0.25">
      <c r="A2137" s="17">
        <v>2127</v>
      </c>
      <c r="B2137" s="17" t="s">
        <v>13</v>
      </c>
      <c r="C2137" s="17" t="s">
        <v>3847</v>
      </c>
      <c r="D2137" s="18">
        <v>30</v>
      </c>
      <c r="E2137" s="18">
        <v>1.32</v>
      </c>
      <c r="F2137" s="18">
        <v>1.45</v>
      </c>
      <c r="G2137" s="20" t="s">
        <v>4901</v>
      </c>
      <c r="H2137" s="19" t="str">
        <f>HYPERLINK("https://elefant.by/catalogue/656880892","Посмотреть на сайте ...")</f>
        <v>Посмотреть на сайте ...</v>
      </c>
    </row>
    <row r="2138" spans="1:8" s="16" customFormat="1" x14ac:dyDescent="0.25">
      <c r="A2138" s="17">
        <v>2128</v>
      </c>
      <c r="B2138" s="17" t="s">
        <v>13</v>
      </c>
      <c r="C2138" s="17" t="s">
        <v>3848</v>
      </c>
      <c r="D2138" s="18">
        <v>30</v>
      </c>
      <c r="E2138" s="18">
        <v>1.32</v>
      </c>
      <c r="F2138" s="18">
        <v>1.45</v>
      </c>
      <c r="G2138" s="20" t="s">
        <v>4902</v>
      </c>
      <c r="H2138" s="19" t="str">
        <f>HYPERLINK("https://elefant.by/catalogue/637256241","Посмотреть на сайте ...")</f>
        <v>Посмотреть на сайте ...</v>
      </c>
    </row>
    <row r="2139" spans="1:8" s="16" customFormat="1" x14ac:dyDescent="0.25">
      <c r="A2139" s="17">
        <v>2129</v>
      </c>
      <c r="B2139" s="17" t="s">
        <v>13</v>
      </c>
      <c r="C2139" s="17" t="s">
        <v>3849</v>
      </c>
      <c r="D2139" s="18">
        <v>50</v>
      </c>
      <c r="E2139" s="18">
        <v>1</v>
      </c>
      <c r="F2139" s="18">
        <v>1.1000000000000001</v>
      </c>
      <c r="G2139" s="20" t="s">
        <v>2469</v>
      </c>
      <c r="H2139" s="19" t="str">
        <f>HYPERLINK("https://elefant.by/catalogue/639221366","Посмотреть на сайте ...")</f>
        <v>Посмотреть на сайте ...</v>
      </c>
    </row>
    <row r="2140" spans="1:8" s="16" customFormat="1" x14ac:dyDescent="0.25">
      <c r="A2140" s="17">
        <v>2130</v>
      </c>
      <c r="B2140" s="17" t="s">
        <v>13</v>
      </c>
      <c r="C2140" s="17" t="s">
        <v>3850</v>
      </c>
      <c r="D2140" s="18">
        <v>50</v>
      </c>
      <c r="E2140" s="18">
        <v>1</v>
      </c>
      <c r="F2140" s="18">
        <v>1.1000000000000001</v>
      </c>
      <c r="G2140" s="20" t="s">
        <v>2470</v>
      </c>
      <c r="H2140" s="19" t="str">
        <f>HYPERLINK("https://elefant.by/catalogue/639221367","Посмотреть на сайте ...")</f>
        <v>Посмотреть на сайте ...</v>
      </c>
    </row>
    <row r="2141" spans="1:8" s="16" customFormat="1" x14ac:dyDescent="0.25">
      <c r="A2141" s="17">
        <v>2131</v>
      </c>
      <c r="B2141" s="17" t="s">
        <v>13</v>
      </c>
      <c r="C2141" s="17" t="s">
        <v>3851</v>
      </c>
      <c r="D2141" s="18">
        <v>50</v>
      </c>
      <c r="E2141" s="18">
        <v>1</v>
      </c>
      <c r="F2141" s="18">
        <v>1.1000000000000001</v>
      </c>
      <c r="G2141" s="20" t="s">
        <v>4903</v>
      </c>
      <c r="H2141" s="19" t="str">
        <f>HYPERLINK("https://elefant.by/catalogue/670251674","Посмотреть на сайте ...")</f>
        <v>Посмотреть на сайте ...</v>
      </c>
    </row>
    <row r="2142" spans="1:8" s="16" customFormat="1" x14ac:dyDescent="0.25">
      <c r="A2142" s="17">
        <v>2132</v>
      </c>
      <c r="B2142" s="17" t="s">
        <v>2915</v>
      </c>
      <c r="C2142" s="17" t="s">
        <v>3852</v>
      </c>
      <c r="D2142" s="18">
        <v>40</v>
      </c>
      <c r="E2142" s="18">
        <v>1.39</v>
      </c>
      <c r="F2142" s="18">
        <v>1.53</v>
      </c>
      <c r="G2142" s="20" t="s">
        <v>4904</v>
      </c>
      <c r="H2142" s="19" t="str">
        <f>HYPERLINK("https://elefant.by/catalogue/683709583","Посмотреть на сайте ...")</f>
        <v>Посмотреть на сайте ...</v>
      </c>
    </row>
    <row r="2143" spans="1:8" s="16" customFormat="1" x14ac:dyDescent="0.25">
      <c r="A2143" s="17">
        <v>2133</v>
      </c>
      <c r="B2143" s="17" t="s">
        <v>2915</v>
      </c>
      <c r="C2143" s="17" t="s">
        <v>3853</v>
      </c>
      <c r="D2143" s="18">
        <v>40</v>
      </c>
      <c r="E2143" s="18">
        <v>1.39</v>
      </c>
      <c r="F2143" s="18">
        <v>1.53</v>
      </c>
      <c r="G2143" s="20" t="s">
        <v>4905</v>
      </c>
      <c r="H2143" s="19" t="str">
        <f>HYPERLINK("https://elefant.by/catalogue/673750103","Посмотреть на сайте ...")</f>
        <v>Посмотреть на сайте ...</v>
      </c>
    </row>
    <row r="2144" spans="1:8" s="16" customFormat="1" x14ac:dyDescent="0.25">
      <c r="A2144" s="17">
        <v>2134</v>
      </c>
      <c r="B2144" s="17" t="s">
        <v>2915</v>
      </c>
      <c r="C2144" s="17" t="s">
        <v>3854</v>
      </c>
      <c r="D2144" s="18">
        <v>40</v>
      </c>
      <c r="E2144" s="18">
        <v>1.39</v>
      </c>
      <c r="F2144" s="18">
        <v>1.53</v>
      </c>
      <c r="G2144" s="20" t="s">
        <v>4906</v>
      </c>
      <c r="H2144" s="19" t="str">
        <f>HYPERLINK("https://elefant.by/catalogue/683709584","Посмотреть на сайте ...")</f>
        <v>Посмотреть на сайте ...</v>
      </c>
    </row>
    <row r="2145" spans="1:8" s="16" customFormat="1" x14ac:dyDescent="0.25">
      <c r="A2145" s="17">
        <v>2135</v>
      </c>
      <c r="B2145" s="17" t="s">
        <v>2915</v>
      </c>
      <c r="C2145" s="17" t="s">
        <v>3855</v>
      </c>
      <c r="D2145" s="18">
        <v>40</v>
      </c>
      <c r="E2145" s="18">
        <v>1.39</v>
      </c>
      <c r="F2145" s="18">
        <v>1.53</v>
      </c>
      <c r="G2145" s="20" t="s">
        <v>4907</v>
      </c>
      <c r="H2145" s="19" t="str">
        <f>HYPERLINK("https://elefant.by/catalogue/679653894","Посмотреть на сайте ...")</f>
        <v>Посмотреть на сайте ...</v>
      </c>
    </row>
    <row r="2146" spans="1:8" s="16" customFormat="1" x14ac:dyDescent="0.25">
      <c r="A2146" s="17">
        <v>2136</v>
      </c>
      <c r="B2146" s="17" t="s">
        <v>2915</v>
      </c>
      <c r="C2146" s="17" t="s">
        <v>3856</v>
      </c>
      <c r="D2146" s="18">
        <v>40</v>
      </c>
      <c r="E2146" s="18">
        <v>1.39</v>
      </c>
      <c r="F2146" s="18">
        <v>1.53</v>
      </c>
      <c r="G2146" s="20" t="s">
        <v>4908</v>
      </c>
      <c r="H2146" s="19" t="str">
        <f>HYPERLINK("https://elefant.by/catalogue/679653896","Посмотреть на сайте ...")</f>
        <v>Посмотреть на сайте ...</v>
      </c>
    </row>
    <row r="2147" spans="1:8" s="16" customFormat="1" x14ac:dyDescent="0.25">
      <c r="A2147" s="17">
        <v>2137</v>
      </c>
      <c r="B2147" s="17" t="s">
        <v>2915</v>
      </c>
      <c r="C2147" s="17" t="s">
        <v>3857</v>
      </c>
      <c r="D2147" s="18">
        <v>30</v>
      </c>
      <c r="E2147" s="18">
        <v>1.27</v>
      </c>
      <c r="F2147" s="18">
        <v>1.4</v>
      </c>
      <c r="G2147" s="20" t="s">
        <v>4909</v>
      </c>
      <c r="H2147" s="19" t="str">
        <f>HYPERLINK("https://elefant.by/catalogue/683709582","Посмотреть на сайте ...")</f>
        <v>Посмотреть на сайте ...</v>
      </c>
    </row>
    <row r="2148" spans="1:8" s="16" customFormat="1" x14ac:dyDescent="0.25">
      <c r="A2148" s="17">
        <v>2138</v>
      </c>
      <c r="B2148" s="17" t="s">
        <v>2915</v>
      </c>
      <c r="C2148" s="17" t="s">
        <v>3858</v>
      </c>
      <c r="D2148" s="18">
        <v>40</v>
      </c>
      <c r="E2148" s="18">
        <v>1.39</v>
      </c>
      <c r="F2148" s="18">
        <v>1.53</v>
      </c>
      <c r="G2148" s="20" t="s">
        <v>4910</v>
      </c>
      <c r="H2148" s="19" t="str">
        <f>HYPERLINK("https://elefant.by/catalogue/679653895","Посмотреть на сайте ...")</f>
        <v>Посмотреть на сайте ...</v>
      </c>
    </row>
    <row r="2149" spans="1:8" s="16" customFormat="1" x14ac:dyDescent="0.25">
      <c r="A2149" s="17">
        <v>2139</v>
      </c>
      <c r="B2149" s="17" t="s">
        <v>2915</v>
      </c>
      <c r="C2149" s="17" t="s">
        <v>3859</v>
      </c>
      <c r="D2149" s="18">
        <v>40</v>
      </c>
      <c r="E2149" s="18">
        <v>1.38</v>
      </c>
      <c r="F2149" s="18">
        <v>1.52</v>
      </c>
      <c r="G2149" s="20" t="s">
        <v>4911</v>
      </c>
      <c r="H2149" s="19" t="str">
        <f>HYPERLINK("https://elefant.by/catalogue/673750104","Посмотреть на сайте ...")</f>
        <v>Посмотреть на сайте ...</v>
      </c>
    </row>
    <row r="2150" spans="1:8" s="16" customFormat="1" x14ac:dyDescent="0.25">
      <c r="A2150" s="17">
        <v>2140</v>
      </c>
      <c r="B2150" s="17" t="s">
        <v>14</v>
      </c>
      <c r="C2150" s="17" t="s">
        <v>2471</v>
      </c>
      <c r="D2150" s="18">
        <v>50</v>
      </c>
      <c r="E2150" s="18">
        <v>0.91</v>
      </c>
      <c r="F2150" s="18">
        <v>1</v>
      </c>
      <c r="G2150" s="20" t="s">
        <v>2472</v>
      </c>
      <c r="H2150" s="19" t="str">
        <f>HYPERLINK("https://elefant.by/catalogue/213615808","Посмотреть на сайте ...")</f>
        <v>Посмотреть на сайте ...</v>
      </c>
    </row>
    <row r="2151" spans="1:8" s="16" customFormat="1" x14ac:dyDescent="0.25">
      <c r="A2151" s="17">
        <v>2141</v>
      </c>
      <c r="B2151" s="17" t="s">
        <v>13</v>
      </c>
      <c r="C2151" s="17" t="s">
        <v>3860</v>
      </c>
      <c r="D2151" s="18">
        <v>4</v>
      </c>
      <c r="E2151" s="18">
        <v>7.43</v>
      </c>
      <c r="F2151" s="18">
        <v>8.17</v>
      </c>
      <c r="G2151" s="20" t="s">
        <v>4912</v>
      </c>
      <c r="H2151" s="19" t="str">
        <f>HYPERLINK("https://elefant.by/catalogue/680016444","Посмотреть на сайте ...")</f>
        <v>Посмотреть на сайте ...</v>
      </c>
    </row>
    <row r="2152" spans="1:8" s="16" customFormat="1" x14ac:dyDescent="0.25">
      <c r="A2152" s="17">
        <v>2142</v>
      </c>
      <c r="B2152" s="17" t="s">
        <v>13</v>
      </c>
      <c r="C2152" s="17" t="s">
        <v>3861</v>
      </c>
      <c r="D2152" s="18">
        <v>4</v>
      </c>
      <c r="E2152" s="18">
        <v>7.32</v>
      </c>
      <c r="F2152" s="18">
        <v>8.0500000000000007</v>
      </c>
      <c r="G2152" s="20" t="s">
        <v>4913</v>
      </c>
      <c r="H2152" s="19" t="str">
        <f>HYPERLINK("https://elefant.by/catalogue/671790107","Посмотреть на сайте ...")</f>
        <v>Посмотреть на сайте ...</v>
      </c>
    </row>
    <row r="2153" spans="1:8" s="16" customFormat="1" x14ac:dyDescent="0.25">
      <c r="A2153" s="17">
        <v>2143</v>
      </c>
      <c r="B2153" s="17" t="s">
        <v>87</v>
      </c>
      <c r="C2153" s="17" t="s">
        <v>2473</v>
      </c>
      <c r="D2153" s="18">
        <v>12</v>
      </c>
      <c r="E2153" s="18">
        <v>7.37</v>
      </c>
      <c r="F2153" s="18">
        <v>8.11</v>
      </c>
      <c r="G2153" s="20" t="s">
        <v>2474</v>
      </c>
      <c r="H2153" s="19" t="str">
        <f>HYPERLINK("https://elefant.by/catalogue/587472839","Посмотреть на сайте ...")</f>
        <v>Посмотреть на сайте ...</v>
      </c>
    </row>
    <row r="2154" spans="1:8" s="16" customFormat="1" x14ac:dyDescent="0.25">
      <c r="A2154" s="17">
        <v>2144</v>
      </c>
      <c r="B2154" s="17" t="s">
        <v>13</v>
      </c>
      <c r="C2154" s="17" t="s">
        <v>2475</v>
      </c>
      <c r="D2154" s="18">
        <v>9</v>
      </c>
      <c r="E2154" s="18">
        <v>1.59</v>
      </c>
      <c r="F2154" s="18">
        <v>1.75</v>
      </c>
      <c r="G2154" s="20" t="s">
        <v>2476</v>
      </c>
      <c r="H2154" s="19" t="str">
        <f>HYPERLINK("https://elefant.by/catalogue/520636457","Посмотреть на сайте ...")</f>
        <v>Посмотреть на сайте ...</v>
      </c>
    </row>
    <row r="2155" spans="1:8" s="16" customFormat="1" x14ac:dyDescent="0.25">
      <c r="A2155" s="17">
        <v>2145</v>
      </c>
      <c r="B2155" s="17" t="s">
        <v>13</v>
      </c>
      <c r="C2155" s="17" t="s">
        <v>3862</v>
      </c>
      <c r="D2155" s="18">
        <v>12</v>
      </c>
      <c r="E2155" s="18">
        <v>1.59</v>
      </c>
      <c r="F2155" s="18">
        <v>1.75</v>
      </c>
      <c r="G2155" s="20" t="s">
        <v>4914</v>
      </c>
      <c r="H2155" s="19" t="str">
        <f>HYPERLINK("https://elefant.by/catalogue/685802591","Посмотреть на сайте ...")</f>
        <v>Посмотреть на сайте ...</v>
      </c>
    </row>
    <row r="2156" spans="1:8" s="16" customFormat="1" x14ac:dyDescent="0.25">
      <c r="A2156" s="17">
        <v>2146</v>
      </c>
      <c r="B2156" s="17" t="s">
        <v>13</v>
      </c>
      <c r="C2156" s="17" t="s">
        <v>2477</v>
      </c>
      <c r="D2156" s="18">
        <v>12</v>
      </c>
      <c r="E2156" s="18">
        <v>1.59</v>
      </c>
      <c r="F2156" s="18">
        <v>1.75</v>
      </c>
      <c r="G2156" s="20" t="s">
        <v>2478</v>
      </c>
      <c r="H2156" s="19" t="str">
        <f>HYPERLINK("https://elefant.by/catalogue/623319829","Посмотреть на сайте ...")</f>
        <v>Посмотреть на сайте ...</v>
      </c>
    </row>
    <row r="2157" spans="1:8" s="16" customFormat="1" x14ac:dyDescent="0.25">
      <c r="A2157" s="17">
        <v>2147</v>
      </c>
      <c r="B2157" s="17" t="s">
        <v>13</v>
      </c>
      <c r="C2157" s="17" t="s">
        <v>3863</v>
      </c>
      <c r="D2157" s="18">
        <v>12</v>
      </c>
      <c r="E2157" s="18">
        <v>1.57</v>
      </c>
      <c r="F2157" s="18">
        <v>1.73</v>
      </c>
      <c r="G2157" s="20" t="s">
        <v>4915</v>
      </c>
      <c r="H2157" s="19" t="str">
        <f>HYPERLINK("https://elefant.by/catalogue/688102937","Посмотреть на сайте ...")</f>
        <v>Посмотреть на сайте ...</v>
      </c>
    </row>
    <row r="2158" spans="1:8" s="16" customFormat="1" x14ac:dyDescent="0.25">
      <c r="A2158" s="17">
        <v>2148</v>
      </c>
      <c r="B2158" s="17" t="s">
        <v>2915</v>
      </c>
      <c r="C2158" s="17" t="s">
        <v>3864</v>
      </c>
      <c r="D2158" s="18">
        <v>42</v>
      </c>
      <c r="E2158" s="18">
        <v>1.58</v>
      </c>
      <c r="F2158" s="18">
        <v>1.74</v>
      </c>
      <c r="G2158" s="20" t="s">
        <v>4916</v>
      </c>
      <c r="H2158" s="19" t="str">
        <f>HYPERLINK("https://elefant.by/catalogue/683709530","Посмотреть на сайте ...")</f>
        <v>Посмотреть на сайте ...</v>
      </c>
    </row>
    <row r="2159" spans="1:8" s="16" customFormat="1" x14ac:dyDescent="0.25">
      <c r="A2159" s="17">
        <v>2149</v>
      </c>
      <c r="B2159" s="17" t="s">
        <v>87</v>
      </c>
      <c r="C2159" s="17" t="s">
        <v>3865</v>
      </c>
      <c r="D2159" s="18">
        <v>40</v>
      </c>
      <c r="E2159" s="18">
        <v>3.09</v>
      </c>
      <c r="F2159" s="18">
        <v>3.4</v>
      </c>
      <c r="G2159" s="20" t="s">
        <v>4917</v>
      </c>
      <c r="H2159" s="19" t="str">
        <f>HYPERLINK("https://elefant.by/catalogue/694868268","Посмотреть на сайте ...")</f>
        <v>Посмотреть на сайте ...</v>
      </c>
    </row>
    <row r="2160" spans="1:8" s="16" customFormat="1" x14ac:dyDescent="0.25">
      <c r="A2160" s="17">
        <v>2150</v>
      </c>
      <c r="B2160" s="17" t="s">
        <v>87</v>
      </c>
      <c r="C2160" s="17" t="s">
        <v>3866</v>
      </c>
      <c r="D2160" s="18">
        <v>40</v>
      </c>
      <c r="E2160" s="18">
        <v>3.09</v>
      </c>
      <c r="F2160" s="18">
        <v>3.4</v>
      </c>
      <c r="G2160" s="20" t="s">
        <v>4918</v>
      </c>
      <c r="H2160" s="19" t="str">
        <f>HYPERLINK("https://elefant.by/catalogue/694868269","Посмотреть на сайте ...")</f>
        <v>Посмотреть на сайте ...</v>
      </c>
    </row>
    <row r="2161" spans="1:8" s="16" customFormat="1" x14ac:dyDescent="0.25">
      <c r="A2161" s="17">
        <v>2151</v>
      </c>
      <c r="B2161" s="17" t="s">
        <v>87</v>
      </c>
      <c r="C2161" s="17" t="s">
        <v>3867</v>
      </c>
      <c r="D2161" s="18">
        <v>24</v>
      </c>
      <c r="E2161" s="18">
        <v>3.22</v>
      </c>
      <c r="F2161" s="18">
        <v>3.54</v>
      </c>
      <c r="G2161" s="20" t="s">
        <v>2479</v>
      </c>
      <c r="H2161" s="19" t="str">
        <f>HYPERLINK("https://elefant.by/catalogue/521700266","Посмотреть на сайте ...")</f>
        <v>Посмотреть на сайте ...</v>
      </c>
    </row>
    <row r="2162" spans="1:8" s="16" customFormat="1" x14ac:dyDescent="0.25">
      <c r="A2162" s="17">
        <v>2152</v>
      </c>
      <c r="B2162" s="17" t="s">
        <v>12</v>
      </c>
      <c r="C2162" s="17" t="s">
        <v>3868</v>
      </c>
      <c r="D2162" s="18">
        <v>35</v>
      </c>
      <c r="E2162" s="18">
        <v>1.81</v>
      </c>
      <c r="F2162" s="18">
        <v>1.99</v>
      </c>
      <c r="G2162" s="20" t="s">
        <v>2482</v>
      </c>
      <c r="H2162" s="19" t="str">
        <f>HYPERLINK("https://elefant.by/catalogue/692585956","Посмотреть на сайте ...")</f>
        <v>Посмотреть на сайте ...</v>
      </c>
    </row>
    <row r="2163" spans="1:8" s="16" customFormat="1" x14ac:dyDescent="0.25">
      <c r="A2163" s="17">
        <v>2153</v>
      </c>
      <c r="B2163" s="17" t="s">
        <v>12</v>
      </c>
      <c r="C2163" s="17" t="s">
        <v>3869</v>
      </c>
      <c r="D2163" s="18">
        <v>35</v>
      </c>
      <c r="E2163" s="18">
        <v>1.81</v>
      </c>
      <c r="F2163" s="18">
        <v>1.99</v>
      </c>
      <c r="G2163" s="20" t="s">
        <v>4919</v>
      </c>
      <c r="H2163" s="19" t="str">
        <f>HYPERLINK("https://elefant.by/catalogue/618272697","Посмотреть на сайте ...")</f>
        <v>Посмотреть на сайте ...</v>
      </c>
    </row>
    <row r="2164" spans="1:8" s="16" customFormat="1" x14ac:dyDescent="0.25">
      <c r="A2164" s="17">
        <v>2154</v>
      </c>
      <c r="B2164" s="17" t="s">
        <v>12</v>
      </c>
      <c r="C2164" s="17" t="s">
        <v>3870</v>
      </c>
      <c r="D2164" s="18">
        <v>35</v>
      </c>
      <c r="E2164" s="18">
        <v>1.81</v>
      </c>
      <c r="F2164" s="18">
        <v>1.99</v>
      </c>
      <c r="G2164" s="20" t="s">
        <v>2481</v>
      </c>
      <c r="H2164" s="19" t="str">
        <f>HYPERLINK("https://elefant.by/catalogue/697396614","Посмотреть на сайте ...")</f>
        <v>Посмотреть на сайте ...</v>
      </c>
    </row>
    <row r="2165" spans="1:8" s="16" customFormat="1" x14ac:dyDescent="0.25">
      <c r="A2165" s="17">
        <v>2155</v>
      </c>
      <c r="B2165" s="17" t="s">
        <v>13</v>
      </c>
      <c r="C2165" s="17" t="s">
        <v>3871</v>
      </c>
      <c r="D2165" s="18">
        <v>12</v>
      </c>
      <c r="E2165" s="18">
        <v>2.58</v>
      </c>
      <c r="F2165" s="18">
        <v>2.84</v>
      </c>
      <c r="G2165" s="20" t="s">
        <v>2480</v>
      </c>
      <c r="H2165" s="19" t="str">
        <f>HYPERLINK("https://elefant.by/catalogue/520636459","Посмотреть на сайте ...")</f>
        <v>Посмотреть на сайте ...</v>
      </c>
    </row>
    <row r="2166" spans="1:8" s="16" customFormat="1" x14ac:dyDescent="0.25">
      <c r="A2166" s="17">
        <v>2156</v>
      </c>
      <c r="B2166" s="17" t="s">
        <v>13</v>
      </c>
      <c r="C2166" s="17" t="s">
        <v>3872</v>
      </c>
      <c r="D2166" s="18">
        <v>12</v>
      </c>
      <c r="E2166" s="18">
        <v>2.58</v>
      </c>
      <c r="F2166" s="18">
        <v>2.84</v>
      </c>
      <c r="G2166" s="20" t="s">
        <v>4920</v>
      </c>
      <c r="H2166" s="19" t="str">
        <f>HYPERLINK("https://elefant.by/catalogue/680016443","Посмотреть на сайте ...")</f>
        <v>Посмотреть на сайте ...</v>
      </c>
    </row>
    <row r="2167" spans="1:8" s="16" customFormat="1" x14ac:dyDescent="0.25">
      <c r="A2167" s="17">
        <v>2157</v>
      </c>
      <c r="B2167" s="17" t="s">
        <v>13</v>
      </c>
      <c r="C2167" s="17" t="s">
        <v>3873</v>
      </c>
      <c r="D2167" s="18">
        <v>12</v>
      </c>
      <c r="E2167" s="18">
        <v>2.58</v>
      </c>
      <c r="F2167" s="18">
        <v>2.84</v>
      </c>
      <c r="G2167" s="20" t="s">
        <v>4921</v>
      </c>
      <c r="H2167" s="19" t="str">
        <f>HYPERLINK("https://elefant.by/catalogue/664463774","Посмотреть на сайте ...")</f>
        <v>Посмотреть на сайте ...</v>
      </c>
    </row>
    <row r="2168" spans="1:8" s="16" customFormat="1" x14ac:dyDescent="0.25">
      <c r="A2168" s="17">
        <v>2158</v>
      </c>
      <c r="B2168" s="17" t="s">
        <v>87</v>
      </c>
      <c r="C2168" s="17" t="s">
        <v>3874</v>
      </c>
      <c r="D2168" s="18">
        <v>16</v>
      </c>
      <c r="E2168" s="18">
        <v>4.9000000000000004</v>
      </c>
      <c r="F2168" s="18">
        <v>5.39</v>
      </c>
      <c r="G2168" s="20" t="s">
        <v>4922</v>
      </c>
      <c r="H2168" s="19" t="str">
        <f>HYPERLINK("https://elefant.by/catalogue/648835715","Посмотреть на сайте ...")</f>
        <v>Посмотреть на сайте ...</v>
      </c>
    </row>
    <row r="2169" spans="1:8" s="16" customFormat="1" x14ac:dyDescent="0.25">
      <c r="A2169" s="17">
        <v>2159</v>
      </c>
      <c r="B2169" s="17" t="s">
        <v>87</v>
      </c>
      <c r="C2169" s="17" t="s">
        <v>3875</v>
      </c>
      <c r="D2169" s="18">
        <v>24</v>
      </c>
      <c r="E2169" s="18">
        <v>4.74</v>
      </c>
      <c r="F2169" s="18">
        <v>5.21</v>
      </c>
      <c r="G2169" s="20" t="s">
        <v>4923</v>
      </c>
      <c r="H2169" s="19" t="str">
        <f>HYPERLINK("https://elefant.by/catalogue/647129680","Посмотреть на сайте ...")</f>
        <v>Посмотреть на сайте ...</v>
      </c>
    </row>
    <row r="2170" spans="1:8" s="16" customFormat="1" x14ac:dyDescent="0.25">
      <c r="A2170" s="17">
        <v>2160</v>
      </c>
      <c r="B2170" s="17" t="s">
        <v>87</v>
      </c>
      <c r="C2170" s="17" t="s">
        <v>2483</v>
      </c>
      <c r="D2170" s="18">
        <v>24</v>
      </c>
      <c r="E2170" s="18">
        <v>4.09</v>
      </c>
      <c r="F2170" s="18">
        <v>4.5</v>
      </c>
      <c r="G2170" s="20" t="s">
        <v>2484</v>
      </c>
      <c r="H2170" s="19" t="str">
        <f>HYPERLINK("https://elefant.by/catalogue/587472838","Посмотреть на сайте ...")</f>
        <v>Посмотреть на сайте ...</v>
      </c>
    </row>
    <row r="2171" spans="1:8" s="16" customFormat="1" x14ac:dyDescent="0.25">
      <c r="A2171" s="17">
        <v>2161</v>
      </c>
      <c r="B2171" s="17" t="s">
        <v>87</v>
      </c>
      <c r="C2171" s="17" t="s">
        <v>3876</v>
      </c>
      <c r="D2171" s="18">
        <v>24</v>
      </c>
      <c r="E2171" s="18">
        <v>4.3</v>
      </c>
      <c r="F2171" s="18">
        <v>4.7300000000000004</v>
      </c>
      <c r="G2171" s="20" t="s">
        <v>4924</v>
      </c>
      <c r="H2171" s="19" t="str">
        <f>HYPERLINK("https://elefant.by/catalogue/694868265","Посмотреть на сайте ...")</f>
        <v>Посмотреть на сайте ...</v>
      </c>
    </row>
    <row r="2172" spans="1:8" s="16" customFormat="1" x14ac:dyDescent="0.25">
      <c r="A2172" s="17">
        <v>2162</v>
      </c>
      <c r="B2172" s="17" t="s">
        <v>14</v>
      </c>
      <c r="C2172" s="17" t="s">
        <v>3877</v>
      </c>
      <c r="D2172" s="18">
        <v>25</v>
      </c>
      <c r="E2172" s="18">
        <v>1.57</v>
      </c>
      <c r="F2172" s="18">
        <v>1.73</v>
      </c>
      <c r="G2172" s="20" t="s">
        <v>2493</v>
      </c>
      <c r="H2172" s="19" t="str">
        <f>HYPERLINK("https://elefant.by/catalogue/213615806","Посмотреть на сайте ...")</f>
        <v>Посмотреть на сайте ...</v>
      </c>
    </row>
    <row r="2173" spans="1:8" s="16" customFormat="1" x14ac:dyDescent="0.25">
      <c r="A2173" s="17">
        <v>2163</v>
      </c>
      <c r="B2173" s="17" t="s">
        <v>13</v>
      </c>
      <c r="C2173" s="17" t="s">
        <v>3878</v>
      </c>
      <c r="D2173" s="18">
        <v>12</v>
      </c>
      <c r="E2173" s="18">
        <v>2.61</v>
      </c>
      <c r="F2173" s="18">
        <v>2.87</v>
      </c>
      <c r="G2173" s="20" t="s">
        <v>4925</v>
      </c>
      <c r="H2173" s="19" t="str">
        <f>HYPERLINK("https://elefant.by/catalogue/691737687","Посмотреть на сайте ...")</f>
        <v>Посмотреть на сайте ...</v>
      </c>
    </row>
    <row r="2174" spans="1:8" s="16" customFormat="1" x14ac:dyDescent="0.25">
      <c r="A2174" s="17">
        <v>2164</v>
      </c>
      <c r="B2174" s="17" t="s">
        <v>13</v>
      </c>
      <c r="C2174" s="17" t="s">
        <v>2485</v>
      </c>
      <c r="D2174" s="18">
        <v>12</v>
      </c>
      <c r="E2174" s="18">
        <v>2.61</v>
      </c>
      <c r="F2174" s="18">
        <v>2.87</v>
      </c>
      <c r="G2174" s="20" t="s">
        <v>2486</v>
      </c>
      <c r="H2174" s="19" t="str">
        <f>HYPERLINK("https://elefant.by/catalogue/639221364","Посмотреть на сайте ...")</f>
        <v>Посмотреть на сайте ...</v>
      </c>
    </row>
    <row r="2175" spans="1:8" s="16" customFormat="1" x14ac:dyDescent="0.25">
      <c r="A2175" s="17">
        <v>2165</v>
      </c>
      <c r="B2175" s="17" t="s">
        <v>13</v>
      </c>
      <c r="C2175" s="17" t="s">
        <v>3879</v>
      </c>
      <c r="D2175" s="18">
        <v>5</v>
      </c>
      <c r="E2175" s="18">
        <v>2.61</v>
      </c>
      <c r="F2175" s="18">
        <v>2.87</v>
      </c>
      <c r="G2175" s="20" t="s">
        <v>4926</v>
      </c>
      <c r="H2175" s="19" t="str">
        <f>HYPERLINK("https://elefant.by/catalogue/691737688","Посмотреть на сайте ...")</f>
        <v>Посмотреть на сайте ...</v>
      </c>
    </row>
    <row r="2176" spans="1:8" s="16" customFormat="1" x14ac:dyDescent="0.25">
      <c r="A2176" s="17">
        <v>2166</v>
      </c>
      <c r="B2176" s="17" t="s">
        <v>13</v>
      </c>
      <c r="C2176" s="17" t="s">
        <v>3880</v>
      </c>
      <c r="D2176" s="18">
        <v>5</v>
      </c>
      <c r="E2176" s="18">
        <v>2.61</v>
      </c>
      <c r="F2176" s="18">
        <v>2.87</v>
      </c>
      <c r="G2176" s="20" t="s">
        <v>4927</v>
      </c>
      <c r="H2176" s="19" t="str">
        <f>HYPERLINK("https://elefant.by/catalogue/677923148","Посмотреть на сайте ...")</f>
        <v>Посмотреть на сайте ...</v>
      </c>
    </row>
    <row r="2177" spans="1:8" s="16" customFormat="1" x14ac:dyDescent="0.25">
      <c r="A2177" s="17">
        <v>2167</v>
      </c>
      <c r="B2177" s="17" t="s">
        <v>13</v>
      </c>
      <c r="C2177" s="17" t="s">
        <v>3881</v>
      </c>
      <c r="D2177" s="18">
        <v>12</v>
      </c>
      <c r="E2177" s="18">
        <v>2.61</v>
      </c>
      <c r="F2177" s="18">
        <v>2.87</v>
      </c>
      <c r="G2177" s="20" t="s">
        <v>4928</v>
      </c>
      <c r="H2177" s="19" t="str">
        <f>HYPERLINK("https://elefant.by/catalogue/682775079","Посмотреть на сайте ...")</f>
        <v>Посмотреть на сайте ...</v>
      </c>
    </row>
    <row r="2178" spans="1:8" s="16" customFormat="1" x14ac:dyDescent="0.25">
      <c r="A2178" s="17">
        <v>2168</v>
      </c>
      <c r="B2178" s="17" t="s">
        <v>13</v>
      </c>
      <c r="C2178" s="17" t="s">
        <v>2487</v>
      </c>
      <c r="D2178" s="18">
        <v>12</v>
      </c>
      <c r="E2178" s="18">
        <v>2.61</v>
      </c>
      <c r="F2178" s="18">
        <v>2.87</v>
      </c>
      <c r="G2178" s="20" t="s">
        <v>2488</v>
      </c>
      <c r="H2178" s="19" t="str">
        <f>HYPERLINK("https://elefant.by/catalogue/620278685","Посмотреть на сайте ...")</f>
        <v>Посмотреть на сайте ...</v>
      </c>
    </row>
    <row r="2179" spans="1:8" s="16" customFormat="1" x14ac:dyDescent="0.25">
      <c r="A2179" s="17">
        <v>2169</v>
      </c>
      <c r="B2179" s="17" t="s">
        <v>13</v>
      </c>
      <c r="C2179" s="17" t="s">
        <v>2489</v>
      </c>
      <c r="D2179" s="18">
        <v>4</v>
      </c>
      <c r="E2179" s="18">
        <v>2.61</v>
      </c>
      <c r="F2179" s="18">
        <v>2.87</v>
      </c>
      <c r="G2179" s="20" t="s">
        <v>2490</v>
      </c>
      <c r="H2179" s="19" t="str">
        <f>HYPERLINK("https://elefant.by/catalogue/513782449","Посмотреть на сайте ...")</f>
        <v>Посмотреть на сайте ...</v>
      </c>
    </row>
    <row r="2180" spans="1:8" s="16" customFormat="1" x14ac:dyDescent="0.25">
      <c r="A2180" s="17">
        <v>2170</v>
      </c>
      <c r="B2180" s="17" t="s">
        <v>13</v>
      </c>
      <c r="C2180" s="17" t="s">
        <v>2491</v>
      </c>
      <c r="D2180" s="18">
        <v>12</v>
      </c>
      <c r="E2180" s="18">
        <v>2.61</v>
      </c>
      <c r="F2180" s="18">
        <v>2.87</v>
      </c>
      <c r="G2180" s="20" t="s">
        <v>2492</v>
      </c>
      <c r="H2180" s="19" t="str">
        <f>HYPERLINK("https://elefant.by/catalogue/620278686","Посмотреть на сайте ...")</f>
        <v>Посмотреть на сайте ...</v>
      </c>
    </row>
    <row r="2181" spans="1:8" s="16" customFormat="1" x14ac:dyDescent="0.25">
      <c r="A2181" s="17">
        <v>2171</v>
      </c>
      <c r="B2181" s="17" t="s">
        <v>2915</v>
      </c>
      <c r="C2181" s="17" t="s">
        <v>3882</v>
      </c>
      <c r="D2181" s="18">
        <v>24</v>
      </c>
      <c r="E2181" s="18">
        <v>2.83</v>
      </c>
      <c r="F2181" s="18">
        <v>3.11</v>
      </c>
      <c r="G2181" s="20" t="s">
        <v>4929</v>
      </c>
      <c r="H2181" s="19" t="str">
        <f>HYPERLINK("https://elefant.by/catalogue/683709585","Посмотреть на сайте ...")</f>
        <v>Посмотреть на сайте ...</v>
      </c>
    </row>
    <row r="2182" spans="1:8" s="16" customFormat="1" x14ac:dyDescent="0.25">
      <c r="A2182" s="17">
        <v>2172</v>
      </c>
      <c r="B2182" s="17" t="s">
        <v>12</v>
      </c>
      <c r="C2182" s="17" t="s">
        <v>3883</v>
      </c>
      <c r="D2182" s="18">
        <v>30</v>
      </c>
      <c r="E2182" s="18">
        <v>2.5</v>
      </c>
      <c r="F2182" s="18">
        <v>2.75</v>
      </c>
      <c r="G2182" s="20" t="s">
        <v>4930</v>
      </c>
      <c r="H2182" s="19" t="str">
        <f>HYPERLINK("https://elefant.by/catalogue/697396617","Посмотреть на сайте ...")</f>
        <v>Посмотреть на сайте ...</v>
      </c>
    </row>
    <row r="2183" spans="1:8" s="16" customFormat="1" x14ac:dyDescent="0.25">
      <c r="A2183" s="17">
        <v>2173</v>
      </c>
      <c r="B2183" s="17" t="s">
        <v>12</v>
      </c>
      <c r="C2183" s="17" t="s">
        <v>3884</v>
      </c>
      <c r="D2183" s="18">
        <v>30</v>
      </c>
      <c r="E2183" s="18">
        <v>2.5</v>
      </c>
      <c r="F2183" s="18">
        <v>2.75</v>
      </c>
      <c r="G2183" s="20" t="s">
        <v>4931</v>
      </c>
      <c r="H2183" s="19" t="str">
        <f>HYPERLINK("https://elefant.by/catalogue/697396615","Посмотреть на сайте ...")</f>
        <v>Посмотреть на сайте ...</v>
      </c>
    </row>
    <row r="2184" spans="1:8" s="16" customFormat="1" x14ac:dyDescent="0.25">
      <c r="A2184" s="17">
        <v>2174</v>
      </c>
      <c r="B2184" s="17" t="s">
        <v>12</v>
      </c>
      <c r="C2184" s="17" t="s">
        <v>3885</v>
      </c>
      <c r="D2184" s="18">
        <v>30</v>
      </c>
      <c r="E2184" s="18">
        <v>2.5</v>
      </c>
      <c r="F2184" s="18">
        <v>2.75</v>
      </c>
      <c r="G2184" s="20" t="s">
        <v>4932</v>
      </c>
      <c r="H2184" s="19" t="str">
        <f>HYPERLINK("https://elefant.by/catalogue/692585972","Посмотреть на сайте ...")</f>
        <v>Посмотреть на сайте ...</v>
      </c>
    </row>
    <row r="2185" spans="1:8" s="16" customFormat="1" x14ac:dyDescent="0.25">
      <c r="A2185" s="17">
        <v>2175</v>
      </c>
      <c r="B2185" s="17" t="s">
        <v>2915</v>
      </c>
      <c r="C2185" s="17" t="s">
        <v>3886</v>
      </c>
      <c r="D2185" s="18">
        <v>20</v>
      </c>
      <c r="E2185" s="18">
        <v>2.1800000000000002</v>
      </c>
      <c r="F2185" s="18">
        <v>2.4</v>
      </c>
      <c r="G2185" s="20" t="s">
        <v>4933</v>
      </c>
      <c r="H2185" s="19" t="str">
        <f>HYPERLINK("https://elefant.by/catalogue/683709581","Посмотреть на сайте ...")</f>
        <v>Посмотреть на сайте ...</v>
      </c>
    </row>
    <row r="2186" spans="1:8" s="16" customFormat="1" x14ac:dyDescent="0.25">
      <c r="A2186" s="17">
        <v>2176</v>
      </c>
      <c r="B2186" s="17" t="s">
        <v>13</v>
      </c>
      <c r="C2186" s="17" t="s">
        <v>2494</v>
      </c>
      <c r="D2186" s="18">
        <v>4</v>
      </c>
      <c r="E2186" s="18">
        <v>4.6399999999999997</v>
      </c>
      <c r="F2186" s="18">
        <v>5.0999999999999996</v>
      </c>
      <c r="G2186" s="20" t="s">
        <v>2495</v>
      </c>
      <c r="H2186" s="19" t="str">
        <f>HYPERLINK("https://elefant.by/catalogue/559122510","Посмотреть на сайте ...")</f>
        <v>Посмотреть на сайте ...</v>
      </c>
    </row>
    <row r="2187" spans="1:8" s="16" customFormat="1" x14ac:dyDescent="0.25">
      <c r="A2187" s="17">
        <v>2177</v>
      </c>
      <c r="B2187" s="17" t="s">
        <v>13</v>
      </c>
      <c r="C2187" s="17" t="s">
        <v>3887</v>
      </c>
      <c r="D2187" s="18">
        <v>4</v>
      </c>
      <c r="E2187" s="18">
        <v>4.6399999999999997</v>
      </c>
      <c r="F2187" s="18">
        <v>5.0999999999999996</v>
      </c>
      <c r="G2187" s="20" t="s">
        <v>4934</v>
      </c>
      <c r="H2187" s="19" t="str">
        <f>HYPERLINK("https://elefant.by/catalogue/674456905","Посмотреть на сайте ...")</f>
        <v>Посмотреть на сайте ...</v>
      </c>
    </row>
    <row r="2188" spans="1:8" s="16" customFormat="1" x14ac:dyDescent="0.25">
      <c r="A2188" s="17">
        <v>2178</v>
      </c>
      <c r="B2188" s="17" t="s">
        <v>13</v>
      </c>
      <c r="C2188" s="17" t="s">
        <v>3888</v>
      </c>
      <c r="D2188" s="18">
        <v>4</v>
      </c>
      <c r="E2188" s="18">
        <v>4.6399999999999997</v>
      </c>
      <c r="F2188" s="18">
        <v>5.0999999999999996</v>
      </c>
      <c r="G2188" s="20" t="s">
        <v>4935</v>
      </c>
      <c r="H2188" s="19" t="str">
        <f>HYPERLINK("https://elefant.by/catalogue/674456906","Посмотреть на сайте ...")</f>
        <v>Посмотреть на сайте ...</v>
      </c>
    </row>
    <row r="2189" spans="1:8" s="16" customFormat="1" x14ac:dyDescent="0.25">
      <c r="A2189" s="17">
        <v>2179</v>
      </c>
      <c r="B2189" s="17" t="s">
        <v>87</v>
      </c>
      <c r="C2189" s="17" t="s">
        <v>3889</v>
      </c>
      <c r="D2189" s="18">
        <v>16</v>
      </c>
      <c r="E2189" s="18">
        <v>3.62</v>
      </c>
      <c r="F2189" s="18">
        <v>3.98</v>
      </c>
      <c r="G2189" s="20" t="s">
        <v>4936</v>
      </c>
      <c r="H2189" s="19" t="str">
        <f>HYPERLINK("https://elefant.by/catalogue/583625701","Посмотреть на сайте ...")</f>
        <v>Посмотреть на сайте ...</v>
      </c>
    </row>
    <row r="2190" spans="1:8" s="16" customFormat="1" x14ac:dyDescent="0.25">
      <c r="A2190" s="17">
        <v>2180</v>
      </c>
      <c r="B2190" s="17" t="s">
        <v>87</v>
      </c>
      <c r="C2190" s="17" t="s">
        <v>2496</v>
      </c>
      <c r="D2190" s="18">
        <v>16</v>
      </c>
      <c r="E2190" s="18">
        <v>3.62</v>
      </c>
      <c r="F2190" s="18">
        <v>3.98</v>
      </c>
      <c r="G2190" s="20" t="s">
        <v>2497</v>
      </c>
      <c r="H2190" s="19" t="str">
        <f>HYPERLINK("https://elefant.by/catalogue/587472835","Посмотреть на сайте ...")</f>
        <v>Посмотреть на сайте ...</v>
      </c>
    </row>
    <row r="2191" spans="1:8" s="16" customFormat="1" x14ac:dyDescent="0.25">
      <c r="A2191" s="17">
        <v>2181</v>
      </c>
      <c r="B2191" s="17" t="s">
        <v>87</v>
      </c>
      <c r="C2191" s="17" t="s">
        <v>2498</v>
      </c>
      <c r="D2191" s="18">
        <v>16</v>
      </c>
      <c r="E2191" s="18">
        <v>3.62</v>
      </c>
      <c r="F2191" s="18">
        <v>3.98</v>
      </c>
      <c r="G2191" s="20" t="s">
        <v>2499</v>
      </c>
      <c r="H2191" s="19" t="str">
        <f>HYPERLINK("https://elefant.by/catalogue/514943368","Посмотреть на сайте ...")</f>
        <v>Посмотреть на сайте ...</v>
      </c>
    </row>
    <row r="2192" spans="1:8" s="16" customFormat="1" x14ac:dyDescent="0.25">
      <c r="A2192" s="17">
        <v>2182</v>
      </c>
      <c r="B2192" s="17" t="s">
        <v>13</v>
      </c>
      <c r="C2192" s="17" t="s">
        <v>3890</v>
      </c>
      <c r="D2192" s="18">
        <v>3</v>
      </c>
      <c r="E2192" s="18">
        <v>4.05</v>
      </c>
      <c r="F2192" s="18">
        <v>4.46</v>
      </c>
      <c r="G2192" s="20" t="s">
        <v>4937</v>
      </c>
      <c r="H2192" s="19" t="str">
        <f>HYPERLINK("https://elefant.by/catalogue/594291242","Посмотреть на сайте ...")</f>
        <v>Посмотреть на сайте ...</v>
      </c>
    </row>
    <row r="2193" spans="1:8" s="16" customFormat="1" x14ac:dyDescent="0.25">
      <c r="A2193" s="17">
        <v>2183</v>
      </c>
      <c r="B2193" s="17" t="s">
        <v>13</v>
      </c>
      <c r="C2193" s="17" t="s">
        <v>3891</v>
      </c>
      <c r="D2193" s="18">
        <v>3</v>
      </c>
      <c r="E2193" s="18">
        <v>4.05</v>
      </c>
      <c r="F2193" s="18">
        <v>4.46</v>
      </c>
      <c r="G2193" s="20" t="s">
        <v>4938</v>
      </c>
      <c r="H2193" s="19" t="str">
        <f>HYPERLINK("https://elefant.by/catalogue/681249586","Посмотреть на сайте ...")</f>
        <v>Посмотреть на сайте ...</v>
      </c>
    </row>
    <row r="2194" spans="1:8" s="16" customFormat="1" x14ac:dyDescent="0.25">
      <c r="A2194" s="17">
        <v>2184</v>
      </c>
      <c r="B2194" s="17" t="s">
        <v>13</v>
      </c>
      <c r="C2194" s="17" t="s">
        <v>2500</v>
      </c>
      <c r="D2194" s="18">
        <v>3</v>
      </c>
      <c r="E2194" s="18">
        <v>4.05</v>
      </c>
      <c r="F2194" s="18">
        <v>4.46</v>
      </c>
      <c r="G2194" s="20" t="s">
        <v>2501</v>
      </c>
      <c r="H2194" s="19" t="str">
        <f>HYPERLINK("https://elefant.by/catalogue/642291025","Посмотреть на сайте ...")</f>
        <v>Посмотреть на сайте ...</v>
      </c>
    </row>
    <row r="2195" spans="1:8" s="16" customFormat="1" x14ac:dyDescent="0.25">
      <c r="A2195" s="17">
        <v>2185</v>
      </c>
      <c r="B2195" s="17" t="s">
        <v>13</v>
      </c>
      <c r="C2195" s="17" t="s">
        <v>3892</v>
      </c>
      <c r="D2195" s="18">
        <v>3</v>
      </c>
      <c r="E2195" s="18">
        <v>4.05</v>
      </c>
      <c r="F2195" s="18">
        <v>4.46</v>
      </c>
      <c r="G2195" s="20" t="s">
        <v>4939</v>
      </c>
      <c r="H2195" s="19" t="str">
        <f>HYPERLINK("https://elefant.by/catalogue/684002733","Посмотреть на сайте ...")</f>
        <v>Посмотреть на сайте ...</v>
      </c>
    </row>
    <row r="2196" spans="1:8" s="16" customFormat="1" x14ac:dyDescent="0.25">
      <c r="A2196" s="17">
        <v>2186</v>
      </c>
      <c r="B2196" s="17" t="s">
        <v>13</v>
      </c>
      <c r="C2196" s="17" t="s">
        <v>3893</v>
      </c>
      <c r="D2196" s="18">
        <v>3</v>
      </c>
      <c r="E2196" s="18">
        <v>4.05</v>
      </c>
      <c r="F2196" s="18">
        <v>4.46</v>
      </c>
      <c r="G2196" s="20" t="s">
        <v>4940</v>
      </c>
      <c r="H2196" s="19" t="str">
        <f>HYPERLINK("https://elefant.by/catalogue/703345825","Посмотреть на сайте ...")</f>
        <v>Посмотреть на сайте ...</v>
      </c>
    </row>
    <row r="2197" spans="1:8" s="16" customFormat="1" x14ac:dyDescent="0.25">
      <c r="A2197" s="17">
        <v>2187</v>
      </c>
      <c r="B2197" s="17" t="s">
        <v>13</v>
      </c>
      <c r="C2197" s="17" t="s">
        <v>3894</v>
      </c>
      <c r="D2197" s="18">
        <v>3</v>
      </c>
      <c r="E2197" s="18">
        <v>4.05</v>
      </c>
      <c r="F2197" s="18">
        <v>4.46</v>
      </c>
      <c r="G2197" s="20" t="s">
        <v>4941</v>
      </c>
      <c r="H2197" s="19" t="str">
        <f>HYPERLINK("https://elefant.by/catalogue/681249587","Посмотреть на сайте ...")</f>
        <v>Посмотреть на сайте ...</v>
      </c>
    </row>
    <row r="2198" spans="1:8" s="16" customFormat="1" x14ac:dyDescent="0.25">
      <c r="A2198" s="17">
        <v>2188</v>
      </c>
      <c r="B2198" s="17" t="s">
        <v>13</v>
      </c>
      <c r="C2198" s="17" t="s">
        <v>2502</v>
      </c>
      <c r="D2198" s="18">
        <v>3</v>
      </c>
      <c r="E2198" s="18">
        <v>4.05</v>
      </c>
      <c r="F2198" s="18">
        <v>4.46</v>
      </c>
      <c r="G2198" s="20" t="s">
        <v>2503</v>
      </c>
      <c r="H2198" s="19" t="str">
        <f>HYPERLINK("https://elefant.by/catalogue/642291026","Посмотреть на сайте ...")</f>
        <v>Посмотреть на сайте ...</v>
      </c>
    </row>
    <row r="2199" spans="1:8" s="16" customFormat="1" x14ac:dyDescent="0.25">
      <c r="A2199" s="17">
        <v>2189</v>
      </c>
      <c r="B2199" s="17" t="s">
        <v>13</v>
      </c>
      <c r="C2199" s="17" t="s">
        <v>3895</v>
      </c>
      <c r="D2199" s="18">
        <v>3</v>
      </c>
      <c r="E2199" s="18">
        <v>4.05</v>
      </c>
      <c r="F2199" s="18">
        <v>4.46</v>
      </c>
      <c r="G2199" s="20" t="s">
        <v>4942</v>
      </c>
      <c r="H2199" s="19" t="str">
        <f>HYPERLINK("https://elefant.by/catalogue/703345826","Посмотреть на сайте ...")</f>
        <v>Посмотреть на сайте ...</v>
      </c>
    </row>
    <row r="2200" spans="1:8" s="16" customFormat="1" x14ac:dyDescent="0.25">
      <c r="A2200" s="17">
        <v>2190</v>
      </c>
      <c r="B2200" s="17" t="s">
        <v>2915</v>
      </c>
      <c r="C2200" s="17" t="s">
        <v>3896</v>
      </c>
      <c r="D2200" s="18">
        <v>16</v>
      </c>
      <c r="E2200" s="18">
        <v>3.57</v>
      </c>
      <c r="F2200" s="18">
        <v>3.93</v>
      </c>
      <c r="G2200" s="20" t="s">
        <v>4943</v>
      </c>
      <c r="H2200" s="19" t="str">
        <f>HYPERLINK("https://elefant.by/catalogue/691500143","Посмотреть на сайте ...")</f>
        <v>Посмотреть на сайте ...</v>
      </c>
    </row>
    <row r="2201" spans="1:8" s="16" customFormat="1" x14ac:dyDescent="0.25">
      <c r="A2201" s="17">
        <v>2191</v>
      </c>
      <c r="B2201" s="17" t="s">
        <v>13</v>
      </c>
      <c r="C2201" s="17" t="s">
        <v>3897</v>
      </c>
      <c r="D2201" s="18">
        <v>2</v>
      </c>
      <c r="E2201" s="18">
        <v>6.6</v>
      </c>
      <c r="F2201" s="18">
        <v>7.26</v>
      </c>
      <c r="G2201" s="20" t="s">
        <v>4944</v>
      </c>
      <c r="H2201" s="19" t="str">
        <f>HYPERLINK("https://elefant.by/catalogue/650438886","Посмотреть на сайте ...")</f>
        <v>Посмотреть на сайте ...</v>
      </c>
    </row>
    <row r="2202" spans="1:8" s="16" customFormat="1" x14ac:dyDescent="0.25">
      <c r="A2202" s="17">
        <v>2192</v>
      </c>
      <c r="B2202" s="17" t="s">
        <v>13</v>
      </c>
      <c r="C2202" s="17" t="s">
        <v>2504</v>
      </c>
      <c r="D2202" s="18">
        <v>1</v>
      </c>
      <c r="E2202" s="18">
        <v>6.51</v>
      </c>
      <c r="F2202" s="18">
        <v>7.16</v>
      </c>
      <c r="G2202" s="20" t="s">
        <v>2505</v>
      </c>
      <c r="H2202" s="19" t="str">
        <f>HYPERLINK("https://elefant.by/catalogue/598752994","Посмотреть на сайте ...")</f>
        <v>Посмотреть на сайте ...</v>
      </c>
    </row>
    <row r="2203" spans="1:8" s="16" customFormat="1" x14ac:dyDescent="0.25">
      <c r="A2203" s="17">
        <v>2193</v>
      </c>
      <c r="B2203" s="17" t="s">
        <v>87</v>
      </c>
      <c r="C2203" s="17" t="s">
        <v>2506</v>
      </c>
      <c r="D2203" s="18">
        <v>100</v>
      </c>
      <c r="E2203" s="18">
        <v>0.76</v>
      </c>
      <c r="F2203" s="18">
        <v>0.84</v>
      </c>
      <c r="G2203" s="20" t="s">
        <v>2507</v>
      </c>
      <c r="H2203" s="19" t="str">
        <f>HYPERLINK("https://elefant.by/catalogue/521700269","Посмотреть на сайте ...")</f>
        <v>Посмотреть на сайте ...</v>
      </c>
    </row>
    <row r="2204" spans="1:8" s="16" customFormat="1" x14ac:dyDescent="0.25">
      <c r="A2204" s="17">
        <v>2194</v>
      </c>
      <c r="B2204" s="17" t="s">
        <v>87</v>
      </c>
      <c r="C2204" s="17" t="s">
        <v>2508</v>
      </c>
      <c r="D2204" s="18">
        <v>100</v>
      </c>
      <c r="E2204" s="18">
        <v>0.76</v>
      </c>
      <c r="F2204" s="18">
        <v>0.84</v>
      </c>
      <c r="G2204" s="20" t="s">
        <v>2509</v>
      </c>
      <c r="H2204" s="19" t="str">
        <f>HYPERLINK("https://elefant.by/catalogue/521700270","Посмотреть на сайте ...")</f>
        <v>Посмотреть на сайте ...</v>
      </c>
    </row>
    <row r="2205" spans="1:8" s="16" customFormat="1" x14ac:dyDescent="0.25">
      <c r="A2205" s="17">
        <v>2195</v>
      </c>
      <c r="B2205" s="17" t="s">
        <v>87</v>
      </c>
      <c r="C2205" s="17" t="s">
        <v>2510</v>
      </c>
      <c r="D2205" s="18">
        <v>34</v>
      </c>
      <c r="E2205" s="18">
        <v>1.34</v>
      </c>
      <c r="F2205" s="18">
        <v>1.47</v>
      </c>
      <c r="G2205" s="20" t="s">
        <v>2511</v>
      </c>
      <c r="H2205" s="19" t="str">
        <f>HYPERLINK("https://elefant.by/catalogue/177177114","Посмотреть на сайте ...")</f>
        <v>Посмотреть на сайте ...</v>
      </c>
    </row>
    <row r="2206" spans="1:8" s="16" customFormat="1" x14ac:dyDescent="0.25">
      <c r="A2206" s="17">
        <v>2196</v>
      </c>
      <c r="B2206" s="17" t="s">
        <v>87</v>
      </c>
      <c r="C2206" s="17" t="s">
        <v>3898</v>
      </c>
      <c r="D2206" s="18">
        <v>24</v>
      </c>
      <c r="E2206" s="18">
        <v>3.48</v>
      </c>
      <c r="F2206" s="18">
        <v>3.83</v>
      </c>
      <c r="G2206" s="20" t="s">
        <v>2512</v>
      </c>
      <c r="H2206" s="19" t="str">
        <f>HYPERLINK("https://elefant.by/catalogue/521700261","Посмотреть на сайте ...")</f>
        <v>Посмотреть на сайте ...</v>
      </c>
    </row>
    <row r="2207" spans="1:8" s="16" customFormat="1" x14ac:dyDescent="0.25">
      <c r="A2207" s="17">
        <v>2197</v>
      </c>
      <c r="B2207" s="17" t="s">
        <v>87</v>
      </c>
      <c r="C2207" s="17" t="s">
        <v>3899</v>
      </c>
      <c r="D2207" s="18">
        <v>24</v>
      </c>
      <c r="E2207" s="18">
        <v>3.31</v>
      </c>
      <c r="F2207" s="18">
        <v>3.64</v>
      </c>
      <c r="G2207" s="20" t="s">
        <v>2513</v>
      </c>
      <c r="H2207" s="19" t="str">
        <f>HYPERLINK("https://elefant.by/catalogue/523778110","Посмотреть на сайте ...")</f>
        <v>Посмотреть на сайте ...</v>
      </c>
    </row>
    <row r="2208" spans="1:8" s="16" customFormat="1" x14ac:dyDescent="0.25">
      <c r="A2208" s="17">
        <v>2198</v>
      </c>
      <c r="B2208" s="17" t="s">
        <v>87</v>
      </c>
      <c r="C2208" s="17" t="s">
        <v>3900</v>
      </c>
      <c r="D2208" s="18">
        <v>24</v>
      </c>
      <c r="E2208" s="18">
        <v>3.73</v>
      </c>
      <c r="F2208" s="18">
        <v>4.0999999999999996</v>
      </c>
      <c r="G2208" s="20" t="s">
        <v>4945</v>
      </c>
      <c r="H2208" s="19" t="str">
        <f>HYPERLINK("https://elefant.by/catalogue/699815287","Посмотреть на сайте ...")</f>
        <v>Посмотреть на сайте ...</v>
      </c>
    </row>
    <row r="2209" spans="1:8" s="16" customFormat="1" x14ac:dyDescent="0.25">
      <c r="A2209" s="17">
        <v>2199</v>
      </c>
      <c r="B2209" s="17" t="s">
        <v>87</v>
      </c>
      <c r="C2209" s="17" t="s">
        <v>3901</v>
      </c>
      <c r="D2209" s="18">
        <v>100</v>
      </c>
      <c r="E2209" s="18">
        <v>1.37</v>
      </c>
      <c r="F2209" s="18">
        <v>1.51</v>
      </c>
      <c r="G2209" s="20" t="s">
        <v>4946</v>
      </c>
      <c r="H2209" s="19" t="str">
        <f>HYPERLINK("https://elefant.by/catalogue/694868266","Посмотреть на сайте ...")</f>
        <v>Посмотреть на сайте ...</v>
      </c>
    </row>
    <row r="2210" spans="1:8" s="16" customFormat="1" x14ac:dyDescent="0.25">
      <c r="A2210" s="17">
        <v>2200</v>
      </c>
      <c r="B2210" s="17" t="s">
        <v>87</v>
      </c>
      <c r="C2210" s="17" t="s">
        <v>3902</v>
      </c>
      <c r="D2210" s="18">
        <v>100</v>
      </c>
      <c r="E2210" s="18">
        <v>1.37</v>
      </c>
      <c r="F2210" s="18">
        <v>1.51</v>
      </c>
      <c r="G2210" s="20" t="s">
        <v>4947</v>
      </c>
      <c r="H2210" s="19" t="str">
        <f>HYPERLINK("https://elefant.by/catalogue/694868267","Посмотреть на сайте ...")</f>
        <v>Посмотреть на сайте ...</v>
      </c>
    </row>
    <row r="2211" spans="1:8" s="16" customFormat="1" x14ac:dyDescent="0.25">
      <c r="A2211" s="17">
        <v>2201</v>
      </c>
      <c r="B2211" s="17" t="s">
        <v>87</v>
      </c>
      <c r="C2211" s="17" t="s">
        <v>3903</v>
      </c>
      <c r="D2211" s="18">
        <v>60</v>
      </c>
      <c r="E2211" s="18">
        <v>2.23</v>
      </c>
      <c r="F2211" s="18">
        <v>2.4500000000000002</v>
      </c>
      <c r="G2211" s="20" t="s">
        <v>4948</v>
      </c>
      <c r="H2211" s="19" t="str">
        <f>HYPERLINK("https://elefant.by/catalogue/644871653","Посмотреть на сайте ...")</f>
        <v>Посмотреть на сайте ...</v>
      </c>
    </row>
    <row r="2212" spans="1:8" s="16" customFormat="1" x14ac:dyDescent="0.25">
      <c r="A2212" s="17">
        <v>2202</v>
      </c>
      <c r="B2212" s="17" t="s">
        <v>87</v>
      </c>
      <c r="C2212" s="17" t="s">
        <v>2514</v>
      </c>
      <c r="D2212" s="18">
        <v>60</v>
      </c>
      <c r="E2212" s="18">
        <v>2.12</v>
      </c>
      <c r="F2212" s="18">
        <v>2.33</v>
      </c>
      <c r="G2212" s="20" t="s">
        <v>2515</v>
      </c>
      <c r="H2212" s="19" t="str">
        <f>HYPERLINK("https://elefant.by/catalogue/521700264","Посмотреть на сайте ...")</f>
        <v>Посмотреть на сайте ...</v>
      </c>
    </row>
    <row r="2213" spans="1:8" s="16" customFormat="1" x14ac:dyDescent="0.25">
      <c r="A2213" s="17">
        <v>2203</v>
      </c>
      <c r="B2213" s="17" t="s">
        <v>87</v>
      </c>
      <c r="C2213" s="17" t="s">
        <v>2516</v>
      </c>
      <c r="D2213" s="18">
        <v>60</v>
      </c>
      <c r="E2213" s="18">
        <v>1.95</v>
      </c>
      <c r="F2213" s="18">
        <v>2.15</v>
      </c>
      <c r="G2213" s="20" t="s">
        <v>2517</v>
      </c>
      <c r="H2213" s="19" t="str">
        <f>HYPERLINK("https://elefant.by/catalogue/521700265","Посмотреть на сайте ...")</f>
        <v>Посмотреть на сайте ...</v>
      </c>
    </row>
    <row r="2214" spans="1:8" s="16" customFormat="1" x14ac:dyDescent="0.25">
      <c r="A2214" s="17">
        <v>2204</v>
      </c>
      <c r="B2214" s="17" t="s">
        <v>87</v>
      </c>
      <c r="C2214" s="17" t="s">
        <v>2518</v>
      </c>
      <c r="D2214" s="18">
        <v>48</v>
      </c>
      <c r="E2214" s="18">
        <v>3.01</v>
      </c>
      <c r="F2214" s="18">
        <v>3.31</v>
      </c>
      <c r="G2214" s="20" t="s">
        <v>2519</v>
      </c>
      <c r="H2214" s="19" t="str">
        <f>HYPERLINK("https://elefant.by/catalogue/593920960","Посмотреть на сайте ...")</f>
        <v>Посмотреть на сайте ...</v>
      </c>
    </row>
    <row r="2215" spans="1:8" s="16" customFormat="1" x14ac:dyDescent="0.25">
      <c r="A2215" s="17">
        <v>2205</v>
      </c>
      <c r="B2215" s="17" t="s">
        <v>87</v>
      </c>
      <c r="C2215" s="17" t="s">
        <v>2520</v>
      </c>
      <c r="D2215" s="18">
        <v>96</v>
      </c>
      <c r="E2215" s="18">
        <v>1.35</v>
      </c>
      <c r="F2215" s="18">
        <v>1.49</v>
      </c>
      <c r="G2215" s="20" t="s">
        <v>2521</v>
      </c>
      <c r="H2215" s="19" t="str">
        <f>HYPERLINK("https://elefant.by/catalogue/521700262","Посмотреть на сайте ...")</f>
        <v>Посмотреть на сайте ...</v>
      </c>
    </row>
    <row r="2216" spans="1:8" s="16" customFormat="1" x14ac:dyDescent="0.25">
      <c r="A2216" s="17">
        <v>2206</v>
      </c>
      <c r="B2216" s="17" t="s">
        <v>87</v>
      </c>
      <c r="C2216" s="17" t="s">
        <v>2522</v>
      </c>
      <c r="D2216" s="18">
        <v>96</v>
      </c>
      <c r="E2216" s="18">
        <v>1.52</v>
      </c>
      <c r="F2216" s="18">
        <v>1.67</v>
      </c>
      <c r="G2216" s="20" t="s">
        <v>2523</v>
      </c>
      <c r="H2216" s="19" t="str">
        <f>HYPERLINK("https://elefant.by/catalogue/593920962","Посмотреть на сайте ...")</f>
        <v>Посмотреть на сайте ...</v>
      </c>
    </row>
    <row r="2217" spans="1:8" s="16" customFormat="1" x14ac:dyDescent="0.25">
      <c r="A2217" s="17">
        <v>2207</v>
      </c>
      <c r="B2217" s="17" t="s">
        <v>13</v>
      </c>
      <c r="C2217" s="17" t="s">
        <v>3904</v>
      </c>
      <c r="D2217" s="18">
        <v>48</v>
      </c>
      <c r="E2217" s="18">
        <v>0.53</v>
      </c>
      <c r="F2217" s="18">
        <v>0.64</v>
      </c>
      <c r="G2217" s="20" t="s">
        <v>4949</v>
      </c>
      <c r="H2217" s="19" t="str">
        <f>HYPERLINK("https://elefant.by/catalogue/546101876","Посмотреть на сайте ...")</f>
        <v>Посмотреть на сайте ...</v>
      </c>
    </row>
    <row r="2218" spans="1:8" s="16" customFormat="1" x14ac:dyDescent="0.25">
      <c r="A2218" s="17">
        <v>2208</v>
      </c>
      <c r="B2218" s="17" t="s">
        <v>13</v>
      </c>
      <c r="C2218" s="17" t="s">
        <v>3905</v>
      </c>
      <c r="D2218" s="18">
        <v>24</v>
      </c>
      <c r="E2218" s="18">
        <v>0.82</v>
      </c>
      <c r="F2218" s="18">
        <v>0.98</v>
      </c>
      <c r="G2218" s="20" t="s">
        <v>4950</v>
      </c>
      <c r="H2218" s="19" t="str">
        <f>HYPERLINK("https://elefant.by/catalogue/529070919","Посмотреть на сайте ...")</f>
        <v>Посмотреть на сайте ...</v>
      </c>
    </row>
    <row r="2219" spans="1:8" s="16" customFormat="1" x14ac:dyDescent="0.25">
      <c r="A2219" s="17">
        <v>2209</v>
      </c>
      <c r="B2219" s="17" t="s">
        <v>13</v>
      </c>
      <c r="C2219" s="17" t="s">
        <v>3906</v>
      </c>
      <c r="D2219" s="18">
        <v>36</v>
      </c>
      <c r="E2219" s="18">
        <v>0.94</v>
      </c>
      <c r="F2219" s="18">
        <v>1.1299999999999999</v>
      </c>
      <c r="G2219" s="20" t="s">
        <v>4951</v>
      </c>
      <c r="H2219" s="19" t="str">
        <f>HYPERLINK("https://elefant.by/catalogue/529070920","Посмотреть на сайте ...")</f>
        <v>Посмотреть на сайте ...</v>
      </c>
    </row>
    <row r="2220" spans="1:8" s="16" customFormat="1" x14ac:dyDescent="0.25">
      <c r="A2220" s="17">
        <v>2210</v>
      </c>
      <c r="B2220" s="17" t="s">
        <v>402</v>
      </c>
      <c r="C2220" s="17" t="s">
        <v>2524</v>
      </c>
      <c r="D2220" s="18">
        <v>24</v>
      </c>
      <c r="E2220" s="18">
        <v>1.63</v>
      </c>
      <c r="F2220" s="18">
        <v>1.96</v>
      </c>
      <c r="G2220" s="20" t="s">
        <v>2525</v>
      </c>
      <c r="H2220" s="19" t="str">
        <f>HYPERLINK("https://elefant.by/catalogue/594349589","Посмотреть на сайте ...")</f>
        <v>Посмотреть на сайте ...</v>
      </c>
    </row>
    <row r="2221" spans="1:8" s="16" customFormat="1" x14ac:dyDescent="0.25">
      <c r="A2221" s="17">
        <v>2211</v>
      </c>
      <c r="B2221" s="17" t="s">
        <v>402</v>
      </c>
      <c r="C2221" s="17" t="s">
        <v>3907</v>
      </c>
      <c r="D2221" s="18">
        <v>24</v>
      </c>
      <c r="E2221" s="18">
        <v>1.55</v>
      </c>
      <c r="F2221" s="18">
        <v>1.86</v>
      </c>
      <c r="G2221" s="20" t="s">
        <v>4952</v>
      </c>
      <c r="H2221" s="19" t="str">
        <f>HYPERLINK("https://elefant.by/catalogue/653301515","Посмотреть на сайте ...")</f>
        <v>Посмотреть на сайте ...</v>
      </c>
    </row>
    <row r="2222" spans="1:8" s="16" customFormat="1" x14ac:dyDescent="0.25">
      <c r="A2222" s="17">
        <v>2212</v>
      </c>
      <c r="B2222" s="17" t="s">
        <v>63</v>
      </c>
      <c r="C2222" s="17" t="s">
        <v>2526</v>
      </c>
      <c r="D2222" s="18">
        <v>24</v>
      </c>
      <c r="E2222" s="18">
        <v>0.04</v>
      </c>
      <c r="F2222" s="18">
        <v>0.05</v>
      </c>
      <c r="G2222" s="20" t="s">
        <v>2527</v>
      </c>
      <c r="H2222" s="19" t="str">
        <f>HYPERLINK("https://elefant.by/catalogue/505970891","Посмотреть на сайте ...")</f>
        <v>Посмотреть на сайте ...</v>
      </c>
    </row>
    <row r="2223" spans="1:8" s="16" customFormat="1" x14ac:dyDescent="0.25">
      <c r="A2223" s="17">
        <v>2213</v>
      </c>
      <c r="B2223" s="17" t="s">
        <v>12</v>
      </c>
      <c r="C2223" s="17" t="s">
        <v>3908</v>
      </c>
      <c r="D2223" s="18">
        <v>6</v>
      </c>
      <c r="E2223" s="18">
        <v>8.64</v>
      </c>
      <c r="F2223" s="18">
        <v>10.37</v>
      </c>
      <c r="G2223" s="20" t="s">
        <v>4953</v>
      </c>
      <c r="H2223" s="19" t="str">
        <f>HYPERLINK("https://elefant.by/catalogue/672236372","Посмотреть на сайте ...")</f>
        <v>Посмотреть на сайте ...</v>
      </c>
    </row>
    <row r="2224" spans="1:8" s="16" customFormat="1" x14ac:dyDescent="0.25">
      <c r="A2224" s="17">
        <v>2214</v>
      </c>
      <c r="B2224" s="17" t="s">
        <v>12</v>
      </c>
      <c r="C2224" s="17" t="s">
        <v>3909</v>
      </c>
      <c r="D2224" s="18">
        <v>12</v>
      </c>
      <c r="E2224" s="18">
        <v>6.62</v>
      </c>
      <c r="F2224" s="18">
        <v>7.94</v>
      </c>
      <c r="G2224" s="20" t="s">
        <v>4954</v>
      </c>
      <c r="H2224" s="19" t="str">
        <f>HYPERLINK("https://elefant.by/catalogue/596509681","Посмотреть на сайте ...")</f>
        <v>Посмотреть на сайте ...</v>
      </c>
    </row>
    <row r="2225" spans="1:8" s="16" customFormat="1" x14ac:dyDescent="0.25">
      <c r="A2225" s="17">
        <v>2215</v>
      </c>
      <c r="B2225" s="17" t="s">
        <v>12</v>
      </c>
      <c r="C2225" s="17" t="s">
        <v>3910</v>
      </c>
      <c r="D2225" s="18">
        <v>6</v>
      </c>
      <c r="E2225" s="18">
        <v>8.2799999999999994</v>
      </c>
      <c r="F2225" s="18">
        <v>9.94</v>
      </c>
      <c r="G2225" s="20" t="s">
        <v>4955</v>
      </c>
      <c r="H2225" s="19" t="str">
        <f>HYPERLINK("https://elefant.by/catalogue/661172537","Посмотреть на сайте ...")</f>
        <v>Посмотреть на сайте ...</v>
      </c>
    </row>
    <row r="2226" spans="1:8" s="16" customFormat="1" x14ac:dyDescent="0.25">
      <c r="A2226" s="17">
        <v>2216</v>
      </c>
      <c r="B2226" s="17" t="s">
        <v>12</v>
      </c>
      <c r="C2226" s="17" t="s">
        <v>3911</v>
      </c>
      <c r="D2226" s="18">
        <v>48</v>
      </c>
      <c r="E2226" s="18">
        <v>7.58</v>
      </c>
      <c r="F2226" s="18">
        <v>9.1</v>
      </c>
      <c r="G2226" s="20" t="s">
        <v>4956</v>
      </c>
      <c r="H2226" s="19" t="str">
        <f>HYPERLINK("https://elefant.by/catalogue/656807863","Посмотреть на сайте ...")</f>
        <v>Посмотреть на сайте ...</v>
      </c>
    </row>
    <row r="2227" spans="1:8" s="16" customFormat="1" x14ac:dyDescent="0.25">
      <c r="A2227" s="17">
        <v>2217</v>
      </c>
      <c r="B2227" s="17" t="s">
        <v>12</v>
      </c>
      <c r="C2227" s="17" t="s">
        <v>3912</v>
      </c>
      <c r="D2227" s="18">
        <v>12</v>
      </c>
      <c r="E2227" s="18">
        <v>8.7100000000000009</v>
      </c>
      <c r="F2227" s="18">
        <v>10.45</v>
      </c>
      <c r="G2227" s="20" t="s">
        <v>4957</v>
      </c>
      <c r="H2227" s="19" t="str">
        <f>HYPERLINK("https://elefant.by/catalogue/454841684","Посмотреть на сайте ...")</f>
        <v>Посмотреть на сайте ...</v>
      </c>
    </row>
    <row r="2228" spans="1:8" s="16" customFormat="1" x14ac:dyDescent="0.25">
      <c r="A2228" s="17">
        <v>2218</v>
      </c>
      <c r="B2228" s="17" t="s">
        <v>12</v>
      </c>
      <c r="C2228" s="17" t="s">
        <v>3913</v>
      </c>
      <c r="D2228" s="18">
        <v>6</v>
      </c>
      <c r="E2228" s="18">
        <v>13.89</v>
      </c>
      <c r="F2228" s="18">
        <v>16.670000000000002</v>
      </c>
      <c r="G2228" s="20" t="s">
        <v>4958</v>
      </c>
      <c r="H2228" s="19" t="str">
        <f>HYPERLINK("https://elefant.by/catalogue/454862862","Посмотреть на сайте ...")</f>
        <v>Посмотреть на сайте ...</v>
      </c>
    </row>
    <row r="2229" spans="1:8" s="16" customFormat="1" x14ac:dyDescent="0.25">
      <c r="A2229" s="17">
        <v>2219</v>
      </c>
      <c r="B2229" s="17" t="s">
        <v>12</v>
      </c>
      <c r="C2229" s="17" t="s">
        <v>2530</v>
      </c>
      <c r="D2229" s="18">
        <v>12</v>
      </c>
      <c r="E2229" s="18">
        <v>9.1</v>
      </c>
      <c r="F2229" s="18">
        <v>10.92</v>
      </c>
      <c r="G2229" s="20" t="s">
        <v>2531</v>
      </c>
      <c r="H2229" s="19" t="str">
        <f>HYPERLINK("https://elefant.by/catalogue/454862861","Посмотреть на сайте ...")</f>
        <v>Посмотреть на сайте ...</v>
      </c>
    </row>
    <row r="2230" spans="1:8" s="16" customFormat="1" x14ac:dyDescent="0.25">
      <c r="A2230" s="17">
        <v>2220</v>
      </c>
      <c r="B2230" s="17" t="s">
        <v>12</v>
      </c>
      <c r="C2230" s="17" t="s">
        <v>2532</v>
      </c>
      <c r="D2230" s="18">
        <v>48</v>
      </c>
      <c r="E2230" s="18">
        <v>0.44</v>
      </c>
      <c r="F2230" s="18">
        <v>0.53</v>
      </c>
      <c r="G2230" s="20" t="s">
        <v>2533</v>
      </c>
      <c r="H2230" s="19" t="str">
        <f>HYPERLINK("https://elefant.by/catalogue/617893705","Посмотреть на сайте ...")</f>
        <v>Посмотреть на сайте ...</v>
      </c>
    </row>
    <row r="2231" spans="1:8" s="16" customFormat="1" x14ac:dyDescent="0.25">
      <c r="A2231" s="17">
        <v>2221</v>
      </c>
      <c r="B2231" s="17" t="s">
        <v>12</v>
      </c>
      <c r="C2231" s="17" t="s">
        <v>2534</v>
      </c>
      <c r="D2231" s="18">
        <v>48</v>
      </c>
      <c r="E2231" s="18">
        <v>0.13</v>
      </c>
      <c r="F2231" s="18">
        <v>0.16</v>
      </c>
      <c r="G2231" s="20" t="s">
        <v>2535</v>
      </c>
      <c r="H2231" s="19" t="str">
        <f>HYPERLINK("https://elefant.by/catalogue/617893706","Посмотреть на сайте ...")</f>
        <v>Посмотреть на сайте ...</v>
      </c>
    </row>
    <row r="2232" spans="1:8" s="16" customFormat="1" x14ac:dyDescent="0.25">
      <c r="A2232" s="17">
        <v>2222</v>
      </c>
      <c r="B2232" s="17" t="s">
        <v>12</v>
      </c>
      <c r="C2232" s="17" t="s">
        <v>3914</v>
      </c>
      <c r="D2232" s="18">
        <v>48</v>
      </c>
      <c r="E2232" s="18">
        <v>0.57999999999999996</v>
      </c>
      <c r="F2232" s="18">
        <v>0.7</v>
      </c>
      <c r="G2232" s="20" t="s">
        <v>4959</v>
      </c>
      <c r="H2232" s="19" t="str">
        <f>HYPERLINK("https://elefant.by/catalogue/672236373","Посмотреть на сайте ...")</f>
        <v>Посмотреть на сайте ...</v>
      </c>
    </row>
    <row r="2233" spans="1:8" s="16" customFormat="1" x14ac:dyDescent="0.25">
      <c r="A2233" s="17">
        <v>2223</v>
      </c>
      <c r="B2233" s="17" t="s">
        <v>12</v>
      </c>
      <c r="C2233" s="17" t="s">
        <v>3915</v>
      </c>
      <c r="D2233" s="18">
        <v>22</v>
      </c>
      <c r="E2233" s="18">
        <v>0.38</v>
      </c>
      <c r="F2233" s="18">
        <v>0.46</v>
      </c>
      <c r="G2233" s="20" t="s">
        <v>4960</v>
      </c>
      <c r="H2233" s="19" t="str">
        <f>HYPERLINK("https://elefant.by/catalogue/688553468","Посмотреть на сайте ...")</f>
        <v>Посмотреть на сайте ...</v>
      </c>
    </row>
    <row r="2234" spans="1:8" s="16" customFormat="1" x14ac:dyDescent="0.25">
      <c r="A2234" s="17">
        <v>2224</v>
      </c>
      <c r="B2234" s="17" t="s">
        <v>12</v>
      </c>
      <c r="C2234" s="17" t="s">
        <v>3916</v>
      </c>
      <c r="D2234" s="18">
        <v>48</v>
      </c>
      <c r="E2234" s="18">
        <v>0.39</v>
      </c>
      <c r="F2234" s="18">
        <v>0.47</v>
      </c>
      <c r="G2234" s="20" t="s">
        <v>4961</v>
      </c>
      <c r="H2234" s="19" t="str">
        <f>HYPERLINK("https://elefant.by/catalogue/656071490","Посмотреть на сайте ...")</f>
        <v>Посмотреть на сайте ...</v>
      </c>
    </row>
    <row r="2235" spans="1:8" s="16" customFormat="1" x14ac:dyDescent="0.25">
      <c r="A2235" s="17">
        <v>2225</v>
      </c>
      <c r="B2235" s="17" t="s">
        <v>12</v>
      </c>
      <c r="C2235" s="17" t="s">
        <v>3917</v>
      </c>
      <c r="D2235" s="18">
        <v>48</v>
      </c>
      <c r="E2235" s="18">
        <v>0.56999999999999995</v>
      </c>
      <c r="F2235" s="18">
        <v>0.68</v>
      </c>
      <c r="G2235" s="20" t="s">
        <v>4962</v>
      </c>
      <c r="H2235" s="19" t="str">
        <f>HYPERLINK("https://elefant.by/catalogue/661172540","Посмотреть на сайте ...")</f>
        <v>Посмотреть на сайте ...</v>
      </c>
    </row>
    <row r="2236" spans="1:8" s="16" customFormat="1" x14ac:dyDescent="0.25">
      <c r="A2236" s="17">
        <v>2226</v>
      </c>
      <c r="B2236" s="17" t="s">
        <v>12</v>
      </c>
      <c r="C2236" s="17" t="s">
        <v>3918</v>
      </c>
      <c r="D2236" s="18">
        <v>48</v>
      </c>
      <c r="E2236" s="18">
        <v>0.56999999999999995</v>
      </c>
      <c r="F2236" s="18">
        <v>0.68</v>
      </c>
      <c r="G2236" s="20" t="s">
        <v>4963</v>
      </c>
      <c r="H2236" s="19" t="str">
        <f>HYPERLINK("https://elefant.by/catalogue/661172541","Посмотреть на сайте ...")</f>
        <v>Посмотреть на сайте ...</v>
      </c>
    </row>
    <row r="2237" spans="1:8" s="16" customFormat="1" x14ac:dyDescent="0.25">
      <c r="A2237" s="17">
        <v>2227</v>
      </c>
      <c r="B2237" s="17" t="s">
        <v>12</v>
      </c>
      <c r="C2237" s="17" t="s">
        <v>2536</v>
      </c>
      <c r="D2237" s="18">
        <v>48</v>
      </c>
      <c r="E2237" s="18">
        <v>0.49</v>
      </c>
      <c r="F2237" s="18">
        <v>0.59</v>
      </c>
      <c r="G2237" s="20" t="s">
        <v>2537</v>
      </c>
      <c r="H2237" s="19" t="str">
        <f>HYPERLINK("https://elefant.by/catalogue/452511399","Посмотреть на сайте ...")</f>
        <v>Посмотреть на сайте ...</v>
      </c>
    </row>
    <row r="2238" spans="1:8" s="16" customFormat="1" x14ac:dyDescent="0.25">
      <c r="A2238" s="17">
        <v>2228</v>
      </c>
      <c r="B2238" s="17" t="s">
        <v>12</v>
      </c>
      <c r="C2238" s="17" t="s">
        <v>2538</v>
      </c>
      <c r="D2238" s="18">
        <v>24</v>
      </c>
      <c r="E2238" s="18">
        <v>0.59</v>
      </c>
      <c r="F2238" s="18">
        <v>0.71</v>
      </c>
      <c r="G2238" s="20" t="s">
        <v>2539</v>
      </c>
      <c r="H2238" s="19" t="str">
        <f>HYPERLINK("https://elefant.by/catalogue/452511391","Посмотреть на сайте ...")</f>
        <v>Посмотреть на сайте ...</v>
      </c>
    </row>
    <row r="2239" spans="1:8" s="16" customFormat="1" x14ac:dyDescent="0.25">
      <c r="A2239" s="17">
        <v>2229</v>
      </c>
      <c r="B2239" s="17" t="s">
        <v>12</v>
      </c>
      <c r="C2239" s="17" t="s">
        <v>2540</v>
      </c>
      <c r="D2239" s="18">
        <v>24</v>
      </c>
      <c r="E2239" s="18">
        <v>0.05</v>
      </c>
      <c r="F2239" s="18">
        <v>0.06</v>
      </c>
      <c r="G2239" s="20" t="s">
        <v>2541</v>
      </c>
      <c r="H2239" s="19" t="str">
        <f>HYPERLINK("https://elefant.by/catalogue/505970892","Посмотреть на сайте ...")</f>
        <v>Посмотреть на сайте ...</v>
      </c>
    </row>
    <row r="2240" spans="1:8" s="16" customFormat="1" x14ac:dyDescent="0.25">
      <c r="A2240" s="17">
        <v>2230</v>
      </c>
      <c r="B2240" s="17" t="s">
        <v>12</v>
      </c>
      <c r="C2240" s="17" t="s">
        <v>2542</v>
      </c>
      <c r="D2240" s="18">
        <v>24</v>
      </c>
      <c r="E2240" s="18">
        <v>0.47</v>
      </c>
      <c r="F2240" s="18">
        <v>0.56000000000000005</v>
      </c>
      <c r="G2240" s="20" t="s">
        <v>2543</v>
      </c>
      <c r="H2240" s="19" t="str">
        <f>HYPERLINK("https://elefant.by/catalogue/508062661","Посмотреть на сайте ...")</f>
        <v>Посмотреть на сайте ...</v>
      </c>
    </row>
    <row r="2241" spans="1:8" s="16" customFormat="1" x14ac:dyDescent="0.25">
      <c r="A2241" s="17">
        <v>2231</v>
      </c>
      <c r="B2241" s="17" t="s">
        <v>24</v>
      </c>
      <c r="C2241" s="17" t="s">
        <v>2528</v>
      </c>
      <c r="D2241" s="18">
        <v>12</v>
      </c>
      <c r="E2241" s="18">
        <v>2.57</v>
      </c>
      <c r="F2241" s="18">
        <v>3.08</v>
      </c>
      <c r="G2241" s="20" t="s">
        <v>2529</v>
      </c>
      <c r="H2241" s="19" t="str">
        <f>HYPERLINK("https://elefant.by/catalogue/170614883","Посмотреть на сайте ...")</f>
        <v>Посмотреть на сайте ...</v>
      </c>
    </row>
    <row r="2242" spans="1:8" s="16" customFormat="1" x14ac:dyDescent="0.25">
      <c r="A2242" s="17">
        <v>2232</v>
      </c>
      <c r="B2242" s="17" t="s">
        <v>12</v>
      </c>
      <c r="C2242" s="17" t="s">
        <v>2548</v>
      </c>
      <c r="D2242" s="18">
        <v>12</v>
      </c>
      <c r="E2242" s="18">
        <v>0.43</v>
      </c>
      <c r="F2242" s="18">
        <v>0.52</v>
      </c>
      <c r="G2242" s="20" t="s">
        <v>2549</v>
      </c>
      <c r="H2242" s="19" t="str">
        <f>HYPERLINK("https://elefant.by/catalogue/451365170","Посмотреть на сайте ...")</f>
        <v>Посмотреть на сайте ...</v>
      </c>
    </row>
    <row r="2243" spans="1:8" s="16" customFormat="1" x14ac:dyDescent="0.25">
      <c r="A2243" s="17">
        <v>2233</v>
      </c>
      <c r="B2243" s="17" t="s">
        <v>12</v>
      </c>
      <c r="C2243" s="17" t="s">
        <v>2550</v>
      </c>
      <c r="D2243" s="18">
        <v>24</v>
      </c>
      <c r="E2243" s="18">
        <v>0.21</v>
      </c>
      <c r="F2243" s="18">
        <v>0.25</v>
      </c>
      <c r="G2243" s="20" t="s">
        <v>2551</v>
      </c>
      <c r="H2243" s="19" t="str">
        <f>HYPERLINK("https://elefant.by/catalogue/451365169","Посмотреть на сайте ...")</f>
        <v>Посмотреть на сайте ...</v>
      </c>
    </row>
    <row r="2244" spans="1:8" s="16" customFormat="1" x14ac:dyDescent="0.25">
      <c r="A2244" s="17">
        <v>2234</v>
      </c>
      <c r="B2244" s="17" t="s">
        <v>9</v>
      </c>
      <c r="C2244" s="17" t="s">
        <v>2544</v>
      </c>
      <c r="D2244" s="18">
        <v>48</v>
      </c>
      <c r="E2244" s="18">
        <v>0.68</v>
      </c>
      <c r="F2244" s="18">
        <v>0.82</v>
      </c>
      <c r="G2244" s="20" t="s">
        <v>2545</v>
      </c>
      <c r="H2244" s="19" t="str">
        <f>HYPERLINK("https://elefant.by/catalogue/415256317","Посмотреть на сайте ...")</f>
        <v>Посмотреть на сайте ...</v>
      </c>
    </row>
    <row r="2245" spans="1:8" s="16" customFormat="1" x14ac:dyDescent="0.25">
      <c r="A2245" s="17">
        <v>2235</v>
      </c>
      <c r="B2245" s="17" t="s">
        <v>9</v>
      </c>
      <c r="C2245" s="17" t="s">
        <v>2546</v>
      </c>
      <c r="D2245" s="18">
        <v>12</v>
      </c>
      <c r="E2245" s="18">
        <v>1.1599999999999999</v>
      </c>
      <c r="F2245" s="18">
        <v>1.39</v>
      </c>
      <c r="G2245" s="20" t="s">
        <v>2547</v>
      </c>
      <c r="H2245" s="19" t="str">
        <f>HYPERLINK("https://elefant.by/catalogue/160282068","Посмотреть на сайте ...")</f>
        <v>Посмотреть на сайте ...</v>
      </c>
    </row>
    <row r="2246" spans="1:8" s="16" customFormat="1" x14ac:dyDescent="0.25">
      <c r="A2246" s="17">
        <v>2236</v>
      </c>
      <c r="B2246" s="17" t="s">
        <v>9</v>
      </c>
      <c r="C2246" s="17" t="s">
        <v>3919</v>
      </c>
      <c r="D2246" s="18">
        <v>24</v>
      </c>
      <c r="E2246" s="18">
        <v>0.53</v>
      </c>
      <c r="F2246" s="18">
        <v>0.64</v>
      </c>
      <c r="G2246" s="20" t="s">
        <v>4964</v>
      </c>
      <c r="H2246" s="19" t="str">
        <f>HYPERLINK("https://elefant.by/catalogue/153848637","Посмотреть на сайте ...")</f>
        <v>Посмотреть на сайте ...</v>
      </c>
    </row>
    <row r="2247" spans="1:8" s="16" customFormat="1" x14ac:dyDescent="0.25">
      <c r="A2247" s="17">
        <v>2237</v>
      </c>
      <c r="B2247" s="17" t="s">
        <v>9</v>
      </c>
      <c r="C2247" s="17" t="s">
        <v>2552</v>
      </c>
      <c r="D2247" s="18">
        <v>12</v>
      </c>
      <c r="E2247" s="18">
        <v>20.170000000000002</v>
      </c>
      <c r="F2247" s="18">
        <v>24.2</v>
      </c>
      <c r="G2247" s="20" t="s">
        <v>2553</v>
      </c>
      <c r="H2247" s="19" t="str">
        <f>HYPERLINK("https://elefant.by/catalogue/147109881","Посмотреть на сайте ...")</f>
        <v>Посмотреть на сайте ...</v>
      </c>
    </row>
    <row r="2248" spans="1:8" s="16" customFormat="1" x14ac:dyDescent="0.25">
      <c r="A2248" s="17">
        <v>2238</v>
      </c>
      <c r="B2248" s="17" t="s">
        <v>17</v>
      </c>
      <c r="C2248" s="17" t="s">
        <v>2554</v>
      </c>
      <c r="D2248" s="18">
        <v>40</v>
      </c>
      <c r="E2248" s="18">
        <v>1.29</v>
      </c>
      <c r="F2248" s="18">
        <v>1.55</v>
      </c>
      <c r="G2248" s="20" t="s">
        <v>2555</v>
      </c>
      <c r="H2248" s="19" t="str">
        <f>HYPERLINK("https://elefant.by/catalogue/618937621","Посмотреть на сайте ...")</f>
        <v>Посмотреть на сайте ...</v>
      </c>
    </row>
    <row r="2249" spans="1:8" s="16" customFormat="1" x14ac:dyDescent="0.25">
      <c r="A2249" s="17">
        <v>2239</v>
      </c>
      <c r="B2249" s="17" t="s">
        <v>9</v>
      </c>
      <c r="C2249" s="17" t="s">
        <v>2556</v>
      </c>
      <c r="D2249" s="18">
        <v>12</v>
      </c>
      <c r="E2249" s="18">
        <v>1.1499999999999999</v>
      </c>
      <c r="F2249" s="18">
        <v>1.38</v>
      </c>
      <c r="G2249" s="20" t="s">
        <v>2557</v>
      </c>
      <c r="H2249" s="19" t="str">
        <f>HYPERLINK("https://elefant.by/catalogue/216673451","Посмотреть на сайте ...")</f>
        <v>Посмотреть на сайте ...</v>
      </c>
    </row>
    <row r="2250" spans="1:8" s="16" customFormat="1" x14ac:dyDescent="0.25">
      <c r="A2250" s="17">
        <v>2240</v>
      </c>
      <c r="B2250" s="17" t="s">
        <v>9</v>
      </c>
      <c r="C2250" s="17" t="s">
        <v>2558</v>
      </c>
      <c r="D2250" s="18">
        <v>24</v>
      </c>
      <c r="E2250" s="18">
        <v>0.45</v>
      </c>
      <c r="F2250" s="18">
        <v>0.54</v>
      </c>
      <c r="G2250" s="20" t="s">
        <v>2559</v>
      </c>
      <c r="H2250" s="19" t="str">
        <f>HYPERLINK("https://elefant.by/catalogue/424986896","Посмотреть на сайте ...")</f>
        <v>Посмотреть на сайте ...</v>
      </c>
    </row>
    <row r="2251" spans="1:8" s="16" customFormat="1" x14ac:dyDescent="0.25">
      <c r="A2251" s="17">
        <v>2241</v>
      </c>
      <c r="B2251" s="17" t="s">
        <v>9</v>
      </c>
      <c r="C2251" s="17" t="s">
        <v>2560</v>
      </c>
      <c r="D2251" s="18">
        <v>48</v>
      </c>
      <c r="E2251" s="18">
        <v>0.44</v>
      </c>
      <c r="F2251" s="18">
        <v>0.53</v>
      </c>
      <c r="G2251" s="20" t="s">
        <v>2561</v>
      </c>
      <c r="H2251" s="19" t="str">
        <f>HYPERLINK("https://elefant.by/catalogue/160260696","Посмотреть на сайте ...")</f>
        <v>Посмотреть на сайте ...</v>
      </c>
    </row>
    <row r="2252" spans="1:8" s="16" customFormat="1" x14ac:dyDescent="0.25">
      <c r="A2252" s="17">
        <v>2242</v>
      </c>
      <c r="B2252" s="17" t="s">
        <v>9</v>
      </c>
      <c r="C2252" s="17" t="s">
        <v>2564</v>
      </c>
      <c r="D2252" s="18">
        <v>12</v>
      </c>
      <c r="E2252" s="18">
        <v>1.1200000000000001</v>
      </c>
      <c r="F2252" s="18">
        <v>1.34</v>
      </c>
      <c r="G2252" s="20" t="s">
        <v>2565</v>
      </c>
      <c r="H2252" s="19" t="str">
        <f>HYPERLINK("https://elefant.by/catalogue/159602446","Посмотреть на сайте ...")</f>
        <v>Посмотреть на сайте ...</v>
      </c>
    </row>
    <row r="2253" spans="1:8" s="16" customFormat="1" x14ac:dyDescent="0.25">
      <c r="A2253" s="17">
        <v>2243</v>
      </c>
      <c r="B2253" s="17" t="s">
        <v>9</v>
      </c>
      <c r="C2253" s="17" t="s">
        <v>2562</v>
      </c>
      <c r="D2253" s="18">
        <v>24</v>
      </c>
      <c r="E2253" s="18">
        <v>1.07</v>
      </c>
      <c r="F2253" s="18">
        <v>1.28</v>
      </c>
      <c r="G2253" s="20" t="s">
        <v>2563</v>
      </c>
      <c r="H2253" s="19" t="str">
        <f>HYPERLINK("https://elefant.by/catalogue/213271957","Посмотреть на сайте ...")</f>
        <v>Посмотреть на сайте ...</v>
      </c>
    </row>
    <row r="2254" spans="1:8" s="16" customFormat="1" x14ac:dyDescent="0.25">
      <c r="A2254" s="17">
        <v>2244</v>
      </c>
      <c r="B2254" s="17" t="s">
        <v>9</v>
      </c>
      <c r="C2254" s="17" t="s">
        <v>2566</v>
      </c>
      <c r="D2254" s="18">
        <v>55</v>
      </c>
      <c r="E2254" s="18">
        <v>0.2</v>
      </c>
      <c r="F2254" s="18">
        <v>0.24</v>
      </c>
      <c r="G2254" s="20" t="s">
        <v>2567</v>
      </c>
      <c r="H2254" s="19" t="str">
        <f>HYPERLINK("https://elefant.by/catalogue/415256321","Посмотреть на сайте ...")</f>
        <v>Посмотреть на сайте ...</v>
      </c>
    </row>
    <row r="2255" spans="1:8" s="16" customFormat="1" x14ac:dyDescent="0.25">
      <c r="A2255" s="17">
        <v>2245</v>
      </c>
      <c r="B2255" s="17" t="s">
        <v>9</v>
      </c>
      <c r="C2255" s="17" t="s">
        <v>2568</v>
      </c>
      <c r="D2255" s="18">
        <v>55</v>
      </c>
      <c r="E2255" s="18">
        <v>0.19</v>
      </c>
      <c r="F2255" s="18">
        <v>0.23</v>
      </c>
      <c r="G2255" s="20" t="s">
        <v>2569</v>
      </c>
      <c r="H2255" s="19" t="str">
        <f>HYPERLINK("https://elefant.by/catalogue/415256322","Посмотреть на сайте ...")</f>
        <v>Посмотреть на сайте ...</v>
      </c>
    </row>
    <row r="2256" spans="1:8" s="16" customFormat="1" x14ac:dyDescent="0.25">
      <c r="A2256" s="17">
        <v>2246</v>
      </c>
      <c r="B2256" s="17" t="s">
        <v>9</v>
      </c>
      <c r="C2256" s="17" t="s">
        <v>2570</v>
      </c>
      <c r="D2256" s="18">
        <v>24</v>
      </c>
      <c r="E2256" s="18">
        <v>0.81</v>
      </c>
      <c r="F2256" s="18">
        <v>0.97</v>
      </c>
      <c r="G2256" s="20" t="s">
        <v>2571</v>
      </c>
      <c r="H2256" s="19" t="str">
        <f>HYPERLINK("https://elefant.by/catalogue/159102100","Посмотреть на сайте ...")</f>
        <v>Посмотреть на сайте ...</v>
      </c>
    </row>
    <row r="2257" spans="1:8" s="16" customFormat="1" x14ac:dyDescent="0.25">
      <c r="A2257" s="17">
        <v>2247</v>
      </c>
      <c r="B2257" s="17" t="s">
        <v>12</v>
      </c>
      <c r="C2257" s="17" t="s">
        <v>2572</v>
      </c>
      <c r="D2257" s="18">
        <v>3</v>
      </c>
      <c r="E2257" s="18">
        <v>6.17</v>
      </c>
      <c r="F2257" s="18">
        <v>7.4</v>
      </c>
      <c r="G2257" s="20" t="s">
        <v>2573</v>
      </c>
      <c r="H2257" s="19" t="str">
        <f>HYPERLINK("https://elefant.by/catalogue/626301515","Посмотреть на сайте ...")</f>
        <v>Посмотреть на сайте ...</v>
      </c>
    </row>
    <row r="2258" spans="1:8" s="16" customFormat="1" x14ac:dyDescent="0.25">
      <c r="A2258" s="17">
        <v>2248</v>
      </c>
      <c r="B2258" s="17" t="s">
        <v>66</v>
      </c>
      <c r="C2258" s="17" t="s">
        <v>3920</v>
      </c>
      <c r="D2258" s="18">
        <v>20</v>
      </c>
      <c r="E2258" s="18">
        <v>0.27</v>
      </c>
      <c r="F2258" s="18">
        <v>0.32</v>
      </c>
      <c r="G2258" s="20" t="s">
        <v>4965</v>
      </c>
      <c r="H2258" s="19" t="str">
        <f>HYPERLINK("https://elefant.by/catalogue/147109185","Посмотреть на сайте ...")</f>
        <v>Посмотреть на сайте ...</v>
      </c>
    </row>
    <row r="2259" spans="1:8" s="16" customFormat="1" x14ac:dyDescent="0.25">
      <c r="A2259" s="17">
        <v>2249</v>
      </c>
      <c r="B2259" s="17" t="s">
        <v>66</v>
      </c>
      <c r="C2259" s="17" t="s">
        <v>3921</v>
      </c>
      <c r="D2259" s="18">
        <v>20</v>
      </c>
      <c r="E2259" s="18">
        <v>0.24</v>
      </c>
      <c r="F2259" s="18">
        <v>0.28999999999999998</v>
      </c>
      <c r="G2259" s="20" t="s">
        <v>4966</v>
      </c>
      <c r="H2259" s="19" t="str">
        <f>HYPERLINK("https://elefant.by/catalogue/417118584","Посмотреть на сайте ...")</f>
        <v>Посмотреть на сайте ...</v>
      </c>
    </row>
    <row r="2260" spans="1:8" s="16" customFormat="1" x14ac:dyDescent="0.25">
      <c r="A2260" s="17">
        <v>2250</v>
      </c>
      <c r="B2260" s="17" t="s">
        <v>66</v>
      </c>
      <c r="C2260" s="17" t="s">
        <v>3922</v>
      </c>
      <c r="D2260" s="18">
        <v>20</v>
      </c>
      <c r="E2260" s="18">
        <v>0.41</v>
      </c>
      <c r="F2260" s="18">
        <v>0.49</v>
      </c>
      <c r="G2260" s="20" t="s">
        <v>4967</v>
      </c>
      <c r="H2260" s="19" t="str">
        <f>HYPERLINK("https://elefant.by/catalogue/435737777","Посмотреть на сайте ...")</f>
        <v>Посмотреть на сайте ...</v>
      </c>
    </row>
    <row r="2261" spans="1:8" s="16" customFormat="1" x14ac:dyDescent="0.25">
      <c r="A2261" s="17">
        <v>2251</v>
      </c>
      <c r="B2261" s="17" t="s">
        <v>66</v>
      </c>
      <c r="C2261" s="17" t="s">
        <v>3923</v>
      </c>
      <c r="D2261" s="18">
        <v>20</v>
      </c>
      <c r="E2261" s="18">
        <v>0.41</v>
      </c>
      <c r="F2261" s="18">
        <v>0.49</v>
      </c>
      <c r="G2261" s="20" t="s">
        <v>4968</v>
      </c>
      <c r="H2261" s="19" t="str">
        <f>HYPERLINK("https://elefant.by/catalogue/148082324","Посмотреть на сайте ...")</f>
        <v>Посмотреть на сайте ...</v>
      </c>
    </row>
    <row r="2262" spans="1:8" s="16" customFormat="1" x14ac:dyDescent="0.25">
      <c r="A2262" s="17">
        <v>2252</v>
      </c>
      <c r="B2262" s="17" t="s">
        <v>66</v>
      </c>
      <c r="C2262" s="17" t="s">
        <v>3924</v>
      </c>
      <c r="D2262" s="18">
        <v>20</v>
      </c>
      <c r="E2262" s="18">
        <v>0.61</v>
      </c>
      <c r="F2262" s="18">
        <v>0.73</v>
      </c>
      <c r="G2262" s="20" t="s">
        <v>4969</v>
      </c>
      <c r="H2262" s="19" t="str">
        <f>HYPERLINK("https://elefant.by/catalogue/438704941","Посмотреть на сайте ...")</f>
        <v>Посмотреть на сайте ...</v>
      </c>
    </row>
    <row r="2263" spans="1:8" s="16" customFormat="1" x14ac:dyDescent="0.25">
      <c r="A2263" s="17">
        <v>2253</v>
      </c>
      <c r="B2263" s="17" t="s">
        <v>66</v>
      </c>
      <c r="C2263" s="17" t="s">
        <v>3925</v>
      </c>
      <c r="D2263" s="18">
        <v>20</v>
      </c>
      <c r="E2263" s="18">
        <v>0.47</v>
      </c>
      <c r="F2263" s="18">
        <v>0.56000000000000005</v>
      </c>
      <c r="G2263" s="20" t="s">
        <v>4970</v>
      </c>
      <c r="H2263" s="19" t="str">
        <f>HYPERLINK("https://elefant.by/catalogue/699924849","Посмотреть на сайте ...")</f>
        <v>Посмотреть на сайте ...</v>
      </c>
    </row>
    <row r="2264" spans="1:8" s="16" customFormat="1" x14ac:dyDescent="0.25">
      <c r="A2264" s="17">
        <v>2254</v>
      </c>
      <c r="B2264" s="17" t="s">
        <v>24</v>
      </c>
      <c r="C2264" s="17" t="s">
        <v>3926</v>
      </c>
      <c r="D2264" s="18">
        <v>50</v>
      </c>
      <c r="E2264" s="18">
        <v>0.73</v>
      </c>
      <c r="F2264" s="18">
        <v>0.88</v>
      </c>
      <c r="G2264" s="20" t="s">
        <v>4971</v>
      </c>
      <c r="H2264" s="19" t="str">
        <f>HYPERLINK("https://elefant.by/catalogue/168986675","Посмотреть на сайте ...")</f>
        <v>Посмотреть на сайте ...</v>
      </c>
    </row>
    <row r="2265" spans="1:8" s="16" customFormat="1" x14ac:dyDescent="0.25">
      <c r="A2265" s="17">
        <v>2255</v>
      </c>
      <c r="B2265" s="17" t="s">
        <v>66</v>
      </c>
      <c r="C2265" s="17" t="s">
        <v>3927</v>
      </c>
      <c r="D2265" s="18">
        <v>20</v>
      </c>
      <c r="E2265" s="18">
        <v>0.64</v>
      </c>
      <c r="F2265" s="18">
        <v>0.77</v>
      </c>
      <c r="G2265" s="20" t="s">
        <v>4972</v>
      </c>
      <c r="H2265" s="19" t="str">
        <f>HYPERLINK("https://elefant.by/catalogue/148082826","Посмотреть на сайте ...")</f>
        <v>Посмотреть на сайте ...</v>
      </c>
    </row>
    <row r="2266" spans="1:8" s="16" customFormat="1" x14ac:dyDescent="0.25">
      <c r="A2266" s="17">
        <v>2256</v>
      </c>
      <c r="B2266" s="17" t="s">
        <v>894</v>
      </c>
      <c r="C2266" s="17" t="s">
        <v>3928</v>
      </c>
      <c r="D2266" s="18">
        <v>1</v>
      </c>
      <c r="E2266" s="18">
        <v>11.84</v>
      </c>
      <c r="F2266" s="18">
        <v>14.21</v>
      </c>
      <c r="G2266" s="20" t="s">
        <v>4973</v>
      </c>
      <c r="H2266" s="19" t="str">
        <f>HYPERLINK("https://elefant.by/catalogue/407702158","Посмотреть на сайте ...")</f>
        <v>Посмотреть на сайте ...</v>
      </c>
    </row>
    <row r="2267" spans="1:8" s="16" customFormat="1" x14ac:dyDescent="0.25">
      <c r="A2267" s="17">
        <v>2257</v>
      </c>
      <c r="B2267" s="17" t="s">
        <v>66</v>
      </c>
      <c r="C2267" s="17" t="s">
        <v>3929</v>
      </c>
      <c r="D2267" s="18">
        <v>20</v>
      </c>
      <c r="E2267" s="18">
        <v>1.27</v>
      </c>
      <c r="F2267" s="18">
        <v>1.52</v>
      </c>
      <c r="G2267" s="20" t="s">
        <v>4974</v>
      </c>
      <c r="H2267" s="19" t="str">
        <f>HYPERLINK("https://elefant.by/catalogue/239642680","Посмотреть на сайте ...")</f>
        <v>Посмотреть на сайте ...</v>
      </c>
    </row>
    <row r="2268" spans="1:8" s="16" customFormat="1" x14ac:dyDescent="0.25">
      <c r="A2268" s="17">
        <v>2258</v>
      </c>
      <c r="B2268" s="17" t="s">
        <v>66</v>
      </c>
      <c r="C2268" s="17" t="s">
        <v>3930</v>
      </c>
      <c r="D2268" s="18">
        <v>20</v>
      </c>
      <c r="E2268" s="18">
        <v>1.47</v>
      </c>
      <c r="F2268" s="18">
        <v>1.76</v>
      </c>
      <c r="G2268" s="20" t="s">
        <v>4975</v>
      </c>
      <c r="H2268" s="19" t="str">
        <f>HYPERLINK("https://elefant.by/catalogue/545753543","Посмотреть на сайте ...")</f>
        <v>Посмотреть на сайте ...</v>
      </c>
    </row>
    <row r="2269" spans="1:8" s="16" customFormat="1" x14ac:dyDescent="0.25">
      <c r="A2269" s="17">
        <v>2259</v>
      </c>
      <c r="B2269" s="17" t="s">
        <v>66</v>
      </c>
      <c r="C2269" s="17" t="s">
        <v>3931</v>
      </c>
      <c r="D2269" s="18">
        <v>20</v>
      </c>
      <c r="E2269" s="18">
        <v>0.28000000000000003</v>
      </c>
      <c r="F2269" s="18">
        <v>0.34</v>
      </c>
      <c r="G2269" s="20" t="s">
        <v>4976</v>
      </c>
      <c r="H2269" s="19" t="str">
        <f>HYPERLINK("https://elefant.by/catalogue/148082281","Посмотреть на сайте ...")</f>
        <v>Посмотреть на сайте ...</v>
      </c>
    </row>
    <row r="2270" spans="1:8" s="16" customFormat="1" x14ac:dyDescent="0.25">
      <c r="A2270" s="17">
        <v>2260</v>
      </c>
      <c r="B2270" s="17" t="s">
        <v>66</v>
      </c>
      <c r="C2270" s="17" t="s">
        <v>3932</v>
      </c>
      <c r="D2270" s="18">
        <v>20</v>
      </c>
      <c r="E2270" s="18">
        <v>0.63</v>
      </c>
      <c r="F2270" s="18">
        <v>0.76</v>
      </c>
      <c r="G2270" s="20" t="s">
        <v>4977</v>
      </c>
      <c r="H2270" s="19" t="str">
        <f>HYPERLINK("https://elefant.by/catalogue/445620306","Посмотреть на сайте ...")</f>
        <v>Посмотреть на сайте ...</v>
      </c>
    </row>
    <row r="2271" spans="1:8" s="16" customFormat="1" x14ac:dyDescent="0.25">
      <c r="A2271" s="17">
        <v>2261</v>
      </c>
      <c r="B2271" s="17" t="s">
        <v>66</v>
      </c>
      <c r="C2271" s="17" t="s">
        <v>3933</v>
      </c>
      <c r="D2271" s="18">
        <v>20</v>
      </c>
      <c r="E2271" s="18">
        <v>0.69</v>
      </c>
      <c r="F2271" s="18">
        <v>0.83</v>
      </c>
      <c r="G2271" s="20" t="s">
        <v>4978</v>
      </c>
      <c r="H2271" s="19" t="str">
        <f>HYPERLINK("https://elefant.by/catalogue/149501401","Посмотреть на сайте ...")</f>
        <v>Посмотреть на сайте ...</v>
      </c>
    </row>
    <row r="2272" spans="1:8" s="16" customFormat="1" x14ac:dyDescent="0.25">
      <c r="A2272" s="17">
        <v>2262</v>
      </c>
      <c r="B2272" s="17" t="s">
        <v>66</v>
      </c>
      <c r="C2272" s="17" t="s">
        <v>3934</v>
      </c>
      <c r="D2272" s="18">
        <v>20</v>
      </c>
      <c r="E2272" s="18">
        <v>0.56000000000000005</v>
      </c>
      <c r="F2272" s="18">
        <v>0.67</v>
      </c>
      <c r="G2272" s="20" t="s">
        <v>4979</v>
      </c>
      <c r="H2272" s="19" t="str">
        <f>HYPERLINK("https://elefant.by/catalogue/521683836","Посмотреть на сайте ...")</f>
        <v>Посмотреть на сайте ...</v>
      </c>
    </row>
    <row r="2273" spans="1:8" s="16" customFormat="1" x14ac:dyDescent="0.25">
      <c r="A2273" s="17">
        <v>2263</v>
      </c>
      <c r="B2273" s="17" t="s">
        <v>66</v>
      </c>
      <c r="C2273" s="17" t="s">
        <v>3935</v>
      </c>
      <c r="D2273" s="18">
        <v>40</v>
      </c>
      <c r="E2273" s="18">
        <v>0.69</v>
      </c>
      <c r="F2273" s="18">
        <v>0.83</v>
      </c>
      <c r="G2273" s="20" t="s">
        <v>4980</v>
      </c>
      <c r="H2273" s="19" t="str">
        <f>HYPERLINK("https://elefant.by/catalogue/433828426","Посмотреть на сайте ...")</f>
        <v>Посмотреть на сайте ...</v>
      </c>
    </row>
    <row r="2274" spans="1:8" s="16" customFormat="1" x14ac:dyDescent="0.25">
      <c r="A2274" s="17">
        <v>2264</v>
      </c>
      <c r="B2274" s="17" t="s">
        <v>66</v>
      </c>
      <c r="C2274" s="17" t="s">
        <v>3936</v>
      </c>
      <c r="D2274" s="18">
        <v>40</v>
      </c>
      <c r="E2274" s="18">
        <v>0.79</v>
      </c>
      <c r="F2274" s="18">
        <v>0.95</v>
      </c>
      <c r="G2274" s="20" t="s">
        <v>4981</v>
      </c>
      <c r="H2274" s="19" t="str">
        <f>HYPERLINK("https://elefant.by/catalogue/148082282","Посмотреть на сайте ...")</f>
        <v>Посмотреть на сайте ...</v>
      </c>
    </row>
    <row r="2275" spans="1:8" s="16" customFormat="1" x14ac:dyDescent="0.25">
      <c r="A2275" s="17">
        <v>2265</v>
      </c>
      <c r="B2275" s="17" t="s">
        <v>24</v>
      </c>
      <c r="C2275" s="17" t="s">
        <v>3937</v>
      </c>
      <c r="D2275" s="18">
        <v>50</v>
      </c>
      <c r="E2275" s="18">
        <v>0.79</v>
      </c>
      <c r="F2275" s="18">
        <v>0.95</v>
      </c>
      <c r="G2275" s="20" t="s">
        <v>4982</v>
      </c>
      <c r="H2275" s="19" t="str">
        <f>HYPERLINK("https://elefant.by/catalogue/151380116","Посмотреть на сайте ...")</f>
        <v>Посмотреть на сайте ...</v>
      </c>
    </row>
    <row r="2276" spans="1:8" s="16" customFormat="1" x14ac:dyDescent="0.25">
      <c r="A2276" s="17">
        <v>2266</v>
      </c>
      <c r="B2276" s="17" t="s">
        <v>24</v>
      </c>
      <c r="C2276" s="17" t="s">
        <v>3938</v>
      </c>
      <c r="D2276" s="18">
        <v>10</v>
      </c>
      <c r="E2276" s="18">
        <v>3.25</v>
      </c>
      <c r="F2276" s="18">
        <v>3.9</v>
      </c>
      <c r="G2276" s="20" t="s">
        <v>4983</v>
      </c>
      <c r="H2276" s="19" t="str">
        <f>HYPERLINK("https://elefant.by/catalogue/151380170","Посмотреть на сайте ...")</f>
        <v>Посмотреть на сайте ...</v>
      </c>
    </row>
    <row r="2277" spans="1:8" s="16" customFormat="1" x14ac:dyDescent="0.25">
      <c r="A2277" s="17">
        <v>2267</v>
      </c>
      <c r="B2277" s="17" t="s">
        <v>66</v>
      </c>
      <c r="C2277" s="17" t="s">
        <v>3939</v>
      </c>
      <c r="D2277" s="18">
        <v>20</v>
      </c>
      <c r="E2277" s="18">
        <v>0.24</v>
      </c>
      <c r="F2277" s="18">
        <v>0.28999999999999998</v>
      </c>
      <c r="G2277" s="20" t="s">
        <v>4984</v>
      </c>
      <c r="H2277" s="19" t="str">
        <f>HYPERLINK("https://elefant.by/catalogue/148082284","Посмотреть на сайте ...")</f>
        <v>Посмотреть на сайте ...</v>
      </c>
    </row>
    <row r="2278" spans="1:8" s="16" customFormat="1" x14ac:dyDescent="0.25">
      <c r="A2278" s="17">
        <v>2268</v>
      </c>
      <c r="B2278" s="17" t="s">
        <v>894</v>
      </c>
      <c r="C2278" s="17" t="s">
        <v>3940</v>
      </c>
      <c r="D2278" s="18">
        <v>25</v>
      </c>
      <c r="E2278" s="18">
        <v>1.1399999999999999</v>
      </c>
      <c r="F2278" s="18">
        <v>1.37</v>
      </c>
      <c r="G2278" s="20" t="s">
        <v>4985</v>
      </c>
      <c r="H2278" s="19" t="str">
        <f>HYPERLINK("https://elefant.by/catalogue/520029625","Посмотреть на сайте ...")</f>
        <v>Посмотреть на сайте ...</v>
      </c>
    </row>
    <row r="2279" spans="1:8" s="16" customFormat="1" x14ac:dyDescent="0.25">
      <c r="A2279" s="17">
        <v>2269</v>
      </c>
      <c r="B2279" s="17" t="s">
        <v>894</v>
      </c>
      <c r="C2279" s="17" t="s">
        <v>3941</v>
      </c>
      <c r="D2279" s="18">
        <v>25</v>
      </c>
      <c r="E2279" s="18">
        <v>0.95</v>
      </c>
      <c r="F2279" s="18">
        <v>1.1399999999999999</v>
      </c>
      <c r="G2279" s="20" t="s">
        <v>4986</v>
      </c>
      <c r="H2279" s="19" t="str">
        <f>HYPERLINK("https://elefant.by/catalogue/520029626","Посмотреть на сайте ...")</f>
        <v>Посмотреть на сайте ...</v>
      </c>
    </row>
    <row r="2280" spans="1:8" s="16" customFormat="1" x14ac:dyDescent="0.25">
      <c r="A2280" s="17">
        <v>2270</v>
      </c>
      <c r="B2280" s="17" t="s">
        <v>894</v>
      </c>
      <c r="C2280" s="17" t="s">
        <v>3942</v>
      </c>
      <c r="D2280" s="18">
        <v>1</v>
      </c>
      <c r="E2280" s="18">
        <v>10.64</v>
      </c>
      <c r="F2280" s="18">
        <v>12.77</v>
      </c>
      <c r="G2280" s="20" t="s">
        <v>4987</v>
      </c>
      <c r="H2280" s="19" t="str">
        <f>HYPERLINK("https://elefant.by/catalogue/407702165","Посмотреть на сайте ...")</f>
        <v>Посмотреть на сайте ...</v>
      </c>
    </row>
    <row r="2281" spans="1:8" s="16" customFormat="1" x14ac:dyDescent="0.25">
      <c r="A2281" s="17">
        <v>2271</v>
      </c>
      <c r="B2281" s="17" t="s">
        <v>66</v>
      </c>
      <c r="C2281" s="17" t="s">
        <v>3943</v>
      </c>
      <c r="D2281" s="18">
        <v>10</v>
      </c>
      <c r="E2281" s="18">
        <v>0.44</v>
      </c>
      <c r="F2281" s="18">
        <v>0.53</v>
      </c>
      <c r="G2281" s="20" t="s">
        <v>4988</v>
      </c>
      <c r="H2281" s="19" t="str">
        <f>HYPERLINK("https://elefant.by/catalogue/449091046","Посмотреть на сайте ...")</f>
        <v>Посмотреть на сайте ...</v>
      </c>
    </row>
    <row r="2282" spans="1:8" s="16" customFormat="1" x14ac:dyDescent="0.25">
      <c r="A2282" s="17">
        <v>2272</v>
      </c>
      <c r="B2282" s="17" t="s">
        <v>66</v>
      </c>
      <c r="C2282" s="17" t="s">
        <v>3944</v>
      </c>
      <c r="D2282" s="18">
        <v>9</v>
      </c>
      <c r="E2282" s="18">
        <v>8.2200000000000006</v>
      </c>
      <c r="F2282" s="18">
        <v>9.86</v>
      </c>
      <c r="G2282" s="20" t="s">
        <v>4989</v>
      </c>
      <c r="H2282" s="19" t="str">
        <f>HYPERLINK("https://elefant.by/catalogue/161564589","Посмотреть на сайте ...")</f>
        <v>Посмотреть на сайте ...</v>
      </c>
    </row>
    <row r="2283" spans="1:8" s="16" customFormat="1" x14ac:dyDescent="0.25">
      <c r="A2283" s="17">
        <v>2273</v>
      </c>
      <c r="B2283" s="17" t="s">
        <v>66</v>
      </c>
      <c r="C2283" s="17" t="s">
        <v>3945</v>
      </c>
      <c r="D2283" s="18">
        <v>9</v>
      </c>
      <c r="E2283" s="18">
        <v>8.2200000000000006</v>
      </c>
      <c r="F2283" s="18">
        <v>9.86</v>
      </c>
      <c r="G2283" s="20" t="s">
        <v>4990</v>
      </c>
      <c r="H2283" s="19" t="str">
        <f>HYPERLINK("https://elefant.by/catalogue/157964935","Посмотреть на сайте ...")</f>
        <v>Посмотреть на сайте ...</v>
      </c>
    </row>
    <row r="2284" spans="1:8" s="16" customFormat="1" x14ac:dyDescent="0.25">
      <c r="A2284" s="17">
        <v>2274</v>
      </c>
      <c r="B2284" s="17" t="s">
        <v>66</v>
      </c>
      <c r="C2284" s="17" t="s">
        <v>3946</v>
      </c>
      <c r="D2284" s="18">
        <v>11</v>
      </c>
      <c r="E2284" s="18">
        <v>7.61</v>
      </c>
      <c r="F2284" s="18">
        <v>9.1300000000000008</v>
      </c>
      <c r="G2284" s="20" t="s">
        <v>4991</v>
      </c>
      <c r="H2284" s="19" t="str">
        <f>HYPERLINK("https://elefant.by/catalogue/148584902","Посмотреть на сайте ...")</f>
        <v>Посмотреть на сайте ...</v>
      </c>
    </row>
    <row r="2285" spans="1:8" s="16" customFormat="1" x14ac:dyDescent="0.25">
      <c r="A2285" s="17">
        <v>2275</v>
      </c>
      <c r="B2285" s="17" t="s">
        <v>66</v>
      </c>
      <c r="C2285" s="17" t="s">
        <v>3947</v>
      </c>
      <c r="D2285" s="18">
        <v>11</v>
      </c>
      <c r="E2285" s="18">
        <v>7.61</v>
      </c>
      <c r="F2285" s="18">
        <v>9.1300000000000008</v>
      </c>
      <c r="G2285" s="20" t="s">
        <v>4992</v>
      </c>
      <c r="H2285" s="19" t="str">
        <f>HYPERLINK("https://elefant.by/catalogue/148585406","Посмотреть на сайте ...")</f>
        <v>Посмотреть на сайте ...</v>
      </c>
    </row>
    <row r="2286" spans="1:8" s="16" customFormat="1" x14ac:dyDescent="0.25">
      <c r="A2286" s="17">
        <v>2276</v>
      </c>
      <c r="B2286" s="17" t="s">
        <v>66</v>
      </c>
      <c r="C2286" s="17" t="s">
        <v>3948</v>
      </c>
      <c r="D2286" s="18">
        <v>10</v>
      </c>
      <c r="E2286" s="18">
        <v>6.73</v>
      </c>
      <c r="F2286" s="18">
        <v>8.08</v>
      </c>
      <c r="G2286" s="20" t="s">
        <v>4993</v>
      </c>
      <c r="H2286" s="19" t="str">
        <f>HYPERLINK("https://elefant.by/catalogue/153467803","Посмотреть на сайте ...")</f>
        <v>Посмотреть на сайте ...</v>
      </c>
    </row>
    <row r="2287" spans="1:8" s="16" customFormat="1" x14ac:dyDescent="0.25">
      <c r="A2287" s="17">
        <v>2277</v>
      </c>
      <c r="B2287" s="17" t="s">
        <v>66</v>
      </c>
      <c r="C2287" s="17" t="s">
        <v>3949</v>
      </c>
      <c r="D2287" s="18">
        <v>20</v>
      </c>
      <c r="E2287" s="18">
        <v>6.73</v>
      </c>
      <c r="F2287" s="18">
        <v>8.08</v>
      </c>
      <c r="G2287" s="20" t="s">
        <v>4994</v>
      </c>
      <c r="H2287" s="19" t="str">
        <f>HYPERLINK("https://elefant.by/catalogue/149756929","Посмотреть на сайте ...")</f>
        <v>Посмотреть на сайте ...</v>
      </c>
    </row>
    <row r="2288" spans="1:8" s="16" customFormat="1" x14ac:dyDescent="0.25">
      <c r="A2288" s="17">
        <v>2278</v>
      </c>
      <c r="B2288" s="17" t="s">
        <v>66</v>
      </c>
      <c r="C2288" s="17" t="s">
        <v>3950</v>
      </c>
      <c r="D2288" s="18">
        <v>12</v>
      </c>
      <c r="E2288" s="18">
        <v>18.059999999999999</v>
      </c>
      <c r="F2288" s="18">
        <v>21.67</v>
      </c>
      <c r="G2288" s="20" t="s">
        <v>4995</v>
      </c>
      <c r="H2288" s="19" t="str">
        <f>HYPERLINK("https://elefant.by/catalogue/148584896","Посмотреть на сайте ...")</f>
        <v>Посмотреть на сайте ...</v>
      </c>
    </row>
    <row r="2289" spans="1:8" s="16" customFormat="1" x14ac:dyDescent="0.25">
      <c r="A2289" s="17">
        <v>2279</v>
      </c>
      <c r="B2289" s="17" t="s">
        <v>66</v>
      </c>
      <c r="C2289" s="17" t="s">
        <v>3951</v>
      </c>
      <c r="D2289" s="18">
        <v>12</v>
      </c>
      <c r="E2289" s="18">
        <v>18.059999999999999</v>
      </c>
      <c r="F2289" s="18">
        <v>21.67</v>
      </c>
      <c r="G2289" s="20" t="s">
        <v>4996</v>
      </c>
      <c r="H2289" s="19" t="str">
        <f>HYPERLINK("https://elefant.by/catalogue/148584890","Посмотреть на сайте ...")</f>
        <v>Посмотреть на сайте ...</v>
      </c>
    </row>
    <row r="2290" spans="1:8" s="16" customFormat="1" x14ac:dyDescent="0.25">
      <c r="A2290" s="17">
        <v>2280</v>
      </c>
      <c r="B2290" s="17" t="s">
        <v>66</v>
      </c>
      <c r="C2290" s="17" t="s">
        <v>3952</v>
      </c>
      <c r="D2290" s="18">
        <v>12</v>
      </c>
      <c r="E2290" s="18">
        <v>22.55</v>
      </c>
      <c r="F2290" s="18">
        <v>27.06</v>
      </c>
      <c r="G2290" s="20" t="s">
        <v>4997</v>
      </c>
      <c r="H2290" s="19" t="str">
        <f>HYPERLINK("https://elefant.by/catalogue/149756945","Посмотреть на сайте ...")</f>
        <v>Посмотреть на сайте ...</v>
      </c>
    </row>
    <row r="2291" spans="1:8" s="16" customFormat="1" x14ac:dyDescent="0.25">
      <c r="A2291" s="17">
        <v>2281</v>
      </c>
      <c r="B2291" s="17" t="s">
        <v>66</v>
      </c>
      <c r="C2291" s="17" t="s">
        <v>3953</v>
      </c>
      <c r="D2291" s="18">
        <v>12</v>
      </c>
      <c r="E2291" s="18">
        <v>22.55</v>
      </c>
      <c r="F2291" s="18">
        <v>27.06</v>
      </c>
      <c r="G2291" s="20" t="s">
        <v>4998</v>
      </c>
      <c r="H2291" s="19" t="str">
        <f>HYPERLINK("https://elefant.by/catalogue/149756938","Посмотреть на сайте ...")</f>
        <v>Посмотреть на сайте ...</v>
      </c>
    </row>
    <row r="2292" spans="1:8" s="16" customFormat="1" x14ac:dyDescent="0.25">
      <c r="A2292" s="17">
        <v>2282</v>
      </c>
      <c r="B2292" s="17" t="s">
        <v>24</v>
      </c>
      <c r="C2292" s="17" t="s">
        <v>3954</v>
      </c>
      <c r="D2292" s="18">
        <v>20</v>
      </c>
      <c r="E2292" s="18">
        <v>1.3</v>
      </c>
      <c r="F2292" s="18">
        <v>1.56</v>
      </c>
      <c r="G2292" s="20" t="s">
        <v>4999</v>
      </c>
      <c r="H2292" s="19" t="str">
        <f>HYPERLINK("https://elefant.by/catalogue/536450846","Посмотреть на сайте ...")</f>
        <v>Посмотреть на сайте ...</v>
      </c>
    </row>
    <row r="2293" spans="1:8" s="16" customFormat="1" x14ac:dyDescent="0.25">
      <c r="A2293" s="17">
        <v>2283</v>
      </c>
      <c r="B2293" s="17" t="s">
        <v>20</v>
      </c>
      <c r="C2293" s="17" t="s">
        <v>2574</v>
      </c>
      <c r="D2293" s="18">
        <v>84</v>
      </c>
      <c r="E2293" s="18">
        <v>1.1000000000000001</v>
      </c>
      <c r="F2293" s="18">
        <v>1.32</v>
      </c>
      <c r="G2293" s="20" t="s">
        <v>2575</v>
      </c>
      <c r="H2293" s="19" t="str">
        <f>HYPERLINK("https://elefant.by/catalogue/402510995","Посмотреть на сайте ...")</f>
        <v>Посмотреть на сайте ...</v>
      </c>
    </row>
    <row r="2294" spans="1:8" s="16" customFormat="1" x14ac:dyDescent="0.25">
      <c r="A2294" s="17">
        <v>2284</v>
      </c>
      <c r="B2294" s="17" t="s">
        <v>12</v>
      </c>
      <c r="C2294" s="17" t="s">
        <v>2576</v>
      </c>
      <c r="D2294" s="18">
        <v>24</v>
      </c>
      <c r="E2294" s="18">
        <v>1.23</v>
      </c>
      <c r="F2294" s="18">
        <v>1.48</v>
      </c>
      <c r="G2294" s="20" t="s">
        <v>2577</v>
      </c>
      <c r="H2294" s="19" t="str">
        <f>HYPERLINK("https://elefant.by/catalogue/492375949","Посмотреть на сайте ...")</f>
        <v>Посмотреть на сайте ...</v>
      </c>
    </row>
    <row r="2295" spans="1:8" s="16" customFormat="1" x14ac:dyDescent="0.25">
      <c r="A2295" s="17">
        <v>2285</v>
      </c>
      <c r="B2295" s="17" t="s">
        <v>63</v>
      </c>
      <c r="C2295" s="17" t="s">
        <v>2578</v>
      </c>
      <c r="D2295" s="18">
        <v>12</v>
      </c>
      <c r="E2295" s="18">
        <v>1.86</v>
      </c>
      <c r="F2295" s="18">
        <v>2.23</v>
      </c>
      <c r="G2295" s="20" t="s">
        <v>2579</v>
      </c>
      <c r="H2295" s="19" t="str">
        <f>HYPERLINK("https://elefant.by/catalogue/451365171","Посмотреть на сайте ...")</f>
        <v>Посмотреть на сайте ...</v>
      </c>
    </row>
    <row r="2296" spans="1:8" s="16" customFormat="1" x14ac:dyDescent="0.25">
      <c r="A2296" s="17">
        <v>2286</v>
      </c>
      <c r="B2296" s="17" t="s">
        <v>12</v>
      </c>
      <c r="C2296" s="17" t="s">
        <v>2580</v>
      </c>
      <c r="D2296" s="18">
        <v>24</v>
      </c>
      <c r="E2296" s="18">
        <v>1.5</v>
      </c>
      <c r="F2296" s="18">
        <v>1.8</v>
      </c>
      <c r="G2296" s="20" t="s">
        <v>2581</v>
      </c>
      <c r="H2296" s="19" t="str">
        <f>HYPERLINK("https://elefant.by/catalogue/581381795","Посмотреть на сайте ...")</f>
        <v>Посмотреть на сайте ...</v>
      </c>
    </row>
    <row r="2297" spans="1:8" s="16" customFormat="1" x14ac:dyDescent="0.25">
      <c r="A2297" s="17">
        <v>2287</v>
      </c>
      <c r="B2297" s="17" t="s">
        <v>12</v>
      </c>
      <c r="C2297" s="17" t="s">
        <v>3956</v>
      </c>
      <c r="D2297" s="18">
        <v>24</v>
      </c>
      <c r="E2297" s="18">
        <v>6.99</v>
      </c>
      <c r="F2297" s="18">
        <v>8.39</v>
      </c>
      <c r="G2297" s="20" t="s">
        <v>5001</v>
      </c>
      <c r="H2297" s="19" t="str">
        <f>HYPERLINK("https://elefant.by/catalogue/628873304","Посмотреть на сайте ...")</f>
        <v>Посмотреть на сайте ...</v>
      </c>
    </row>
    <row r="2298" spans="1:8" s="16" customFormat="1" x14ac:dyDescent="0.25">
      <c r="A2298" s="17">
        <v>2288</v>
      </c>
      <c r="B2298" s="17" t="s">
        <v>66</v>
      </c>
      <c r="C2298" s="17" t="s">
        <v>3957</v>
      </c>
      <c r="D2298" s="18">
        <v>36</v>
      </c>
      <c r="E2298" s="18">
        <v>0.78</v>
      </c>
      <c r="F2298" s="18">
        <v>0.94</v>
      </c>
      <c r="G2298" s="20" t="s">
        <v>5002</v>
      </c>
      <c r="H2298" s="19" t="str">
        <f>HYPERLINK("https://elefant.by/catalogue/157792341","Посмотреть на сайте ...")</f>
        <v>Посмотреть на сайте ...</v>
      </c>
    </row>
    <row r="2299" spans="1:8" s="16" customFormat="1" x14ac:dyDescent="0.25">
      <c r="A2299" s="17">
        <v>2289</v>
      </c>
      <c r="B2299" s="17" t="s">
        <v>24</v>
      </c>
      <c r="C2299" s="17" t="s">
        <v>3958</v>
      </c>
      <c r="D2299" s="18">
        <v>12</v>
      </c>
      <c r="E2299" s="18">
        <v>1.17</v>
      </c>
      <c r="F2299" s="18">
        <v>1.4</v>
      </c>
      <c r="G2299" s="20" t="s">
        <v>5003</v>
      </c>
      <c r="H2299" s="19" t="str">
        <f>HYPERLINK("https://elefant.by/catalogue/167647336","Посмотреть на сайте ...")</f>
        <v>Посмотреть на сайте ...</v>
      </c>
    </row>
    <row r="2300" spans="1:8" s="16" customFormat="1" x14ac:dyDescent="0.25">
      <c r="A2300" s="17">
        <v>2290</v>
      </c>
      <c r="B2300" s="17" t="s">
        <v>24</v>
      </c>
      <c r="C2300" s="17" t="s">
        <v>3959</v>
      </c>
      <c r="D2300" s="18">
        <v>12</v>
      </c>
      <c r="E2300" s="18">
        <v>1.17</v>
      </c>
      <c r="F2300" s="18">
        <v>1.4</v>
      </c>
      <c r="G2300" s="20" t="s">
        <v>5004</v>
      </c>
      <c r="H2300" s="19" t="str">
        <f>HYPERLINK("https://elefant.by/catalogue/472528095","Посмотреть на сайте ...")</f>
        <v>Посмотреть на сайте ...</v>
      </c>
    </row>
    <row r="2301" spans="1:8" s="16" customFormat="1" x14ac:dyDescent="0.25">
      <c r="A2301" s="17">
        <v>2291</v>
      </c>
      <c r="B2301" s="17" t="s">
        <v>24</v>
      </c>
      <c r="C2301" s="17" t="s">
        <v>3960</v>
      </c>
      <c r="D2301" s="18">
        <v>12</v>
      </c>
      <c r="E2301" s="18">
        <v>1.17</v>
      </c>
      <c r="F2301" s="18">
        <v>1.4</v>
      </c>
      <c r="G2301" s="20" t="s">
        <v>5005</v>
      </c>
      <c r="H2301" s="19" t="str">
        <f>HYPERLINK("https://elefant.by/catalogue/320076081","Посмотреть на сайте ...")</f>
        <v>Посмотреть на сайте ...</v>
      </c>
    </row>
    <row r="2302" spans="1:8" s="16" customFormat="1" x14ac:dyDescent="0.25">
      <c r="A2302" s="17">
        <v>2292</v>
      </c>
      <c r="B2302" s="17" t="s">
        <v>66</v>
      </c>
      <c r="C2302" s="17" t="s">
        <v>3955</v>
      </c>
      <c r="D2302" s="18">
        <v>20</v>
      </c>
      <c r="E2302" s="18">
        <v>0.63</v>
      </c>
      <c r="F2302" s="18">
        <v>0.76</v>
      </c>
      <c r="G2302" s="20" t="s">
        <v>5000</v>
      </c>
      <c r="H2302" s="19" t="str">
        <f>HYPERLINK("https://elefant.by/catalogue/147111999","Посмотреть на сайте ...")</f>
        <v>Посмотреть на сайте ...</v>
      </c>
    </row>
    <row r="2303" spans="1:8" s="16" customFormat="1" x14ac:dyDescent="0.25">
      <c r="A2303" s="17">
        <v>2293</v>
      </c>
      <c r="B2303" s="17" t="s">
        <v>9</v>
      </c>
      <c r="C2303" s="17" t="s">
        <v>2582</v>
      </c>
      <c r="D2303" s="18">
        <v>20</v>
      </c>
      <c r="E2303" s="18">
        <v>3.48</v>
      </c>
      <c r="F2303" s="18">
        <v>4.18</v>
      </c>
      <c r="G2303" s="20" t="s">
        <v>2583</v>
      </c>
      <c r="H2303" s="19" t="str">
        <f>HYPERLINK("https://elefant.by/catalogue/383889877","Посмотреть на сайте ...")</f>
        <v>Посмотреть на сайте ...</v>
      </c>
    </row>
    <row r="2304" spans="1:8" s="16" customFormat="1" x14ac:dyDescent="0.25">
      <c r="A2304" s="17">
        <v>2294</v>
      </c>
      <c r="B2304" s="17" t="s">
        <v>9</v>
      </c>
      <c r="C2304" s="17" t="s">
        <v>2584</v>
      </c>
      <c r="D2304" s="18">
        <v>20</v>
      </c>
      <c r="E2304" s="18">
        <v>3.48</v>
      </c>
      <c r="F2304" s="18">
        <v>4.18</v>
      </c>
      <c r="G2304" s="20" t="s">
        <v>2585</v>
      </c>
      <c r="H2304" s="19" t="str">
        <f>HYPERLINK("https://elefant.by/catalogue/383889878","Посмотреть на сайте ...")</f>
        <v>Посмотреть на сайте ...</v>
      </c>
    </row>
    <row r="2305" spans="1:8" s="16" customFormat="1" x14ac:dyDescent="0.25">
      <c r="A2305" s="17">
        <v>2295</v>
      </c>
      <c r="B2305" s="17" t="s">
        <v>9</v>
      </c>
      <c r="C2305" s="17" t="s">
        <v>2586</v>
      </c>
      <c r="D2305" s="18">
        <v>20</v>
      </c>
      <c r="E2305" s="18">
        <v>3.12</v>
      </c>
      <c r="F2305" s="18">
        <v>3.74</v>
      </c>
      <c r="G2305" s="20" t="s">
        <v>2587</v>
      </c>
      <c r="H2305" s="19" t="str">
        <f>HYPERLINK("https://elefant.by/catalogue/429921968","Посмотреть на сайте ...")</f>
        <v>Посмотреть на сайте ...</v>
      </c>
    </row>
    <row r="2306" spans="1:8" s="16" customFormat="1" x14ac:dyDescent="0.25">
      <c r="A2306" s="17">
        <v>2296</v>
      </c>
      <c r="B2306" s="17" t="s">
        <v>9</v>
      </c>
      <c r="C2306" s="17" t="s">
        <v>2588</v>
      </c>
      <c r="D2306" s="18">
        <v>20</v>
      </c>
      <c r="E2306" s="18">
        <v>3.12</v>
      </c>
      <c r="F2306" s="18">
        <v>3.74</v>
      </c>
      <c r="G2306" s="20" t="s">
        <v>2589</v>
      </c>
      <c r="H2306" s="19" t="str">
        <f>HYPERLINK("https://elefant.by/catalogue/429921957","Посмотреть на сайте ...")</f>
        <v>Посмотреть на сайте ...</v>
      </c>
    </row>
    <row r="2307" spans="1:8" s="16" customFormat="1" x14ac:dyDescent="0.25">
      <c r="A2307" s="17">
        <v>2297</v>
      </c>
      <c r="B2307" s="17" t="s">
        <v>9</v>
      </c>
      <c r="C2307" s="17" t="s">
        <v>2590</v>
      </c>
      <c r="D2307" s="18">
        <v>20</v>
      </c>
      <c r="E2307" s="18">
        <v>3.12</v>
      </c>
      <c r="F2307" s="18">
        <v>3.74</v>
      </c>
      <c r="G2307" s="20" t="s">
        <v>2591</v>
      </c>
      <c r="H2307" s="19" t="str">
        <f>HYPERLINK("https://elefant.by/catalogue/429921956","Посмотреть на сайте ...")</f>
        <v>Посмотреть на сайте ...</v>
      </c>
    </row>
    <row r="2308" spans="1:8" s="16" customFormat="1" x14ac:dyDescent="0.25">
      <c r="A2308" s="17">
        <v>2298</v>
      </c>
      <c r="B2308" s="17" t="s">
        <v>9</v>
      </c>
      <c r="C2308" s="17" t="s">
        <v>2592</v>
      </c>
      <c r="D2308" s="18">
        <v>20</v>
      </c>
      <c r="E2308" s="18">
        <v>3.12</v>
      </c>
      <c r="F2308" s="18">
        <v>3.74</v>
      </c>
      <c r="G2308" s="20" t="s">
        <v>2593</v>
      </c>
      <c r="H2308" s="19" t="str">
        <f>HYPERLINK("https://elefant.by/catalogue/429921958","Посмотреть на сайте ...")</f>
        <v>Посмотреть на сайте ...</v>
      </c>
    </row>
    <row r="2309" spans="1:8" s="16" customFormat="1" x14ac:dyDescent="0.25">
      <c r="A2309" s="17">
        <v>2299</v>
      </c>
      <c r="B2309" s="17" t="s">
        <v>9</v>
      </c>
      <c r="C2309" s="17" t="s">
        <v>3961</v>
      </c>
      <c r="D2309" s="18">
        <v>20</v>
      </c>
      <c r="E2309" s="18">
        <v>3.12</v>
      </c>
      <c r="F2309" s="18">
        <v>3.74</v>
      </c>
      <c r="G2309" s="20" t="s">
        <v>5006</v>
      </c>
      <c r="H2309" s="19" t="str">
        <f>HYPERLINK("https://elefant.by/catalogue/167663435","Посмотреть на сайте ...")</f>
        <v>Посмотреть на сайте ...</v>
      </c>
    </row>
    <row r="2310" spans="1:8" s="16" customFormat="1" x14ac:dyDescent="0.25">
      <c r="A2310" s="17">
        <v>2300</v>
      </c>
      <c r="B2310" s="17" t="s">
        <v>9</v>
      </c>
      <c r="C2310" s="17" t="s">
        <v>2594</v>
      </c>
      <c r="D2310" s="18">
        <v>20</v>
      </c>
      <c r="E2310" s="18">
        <v>3.12</v>
      </c>
      <c r="F2310" s="18">
        <v>3.74</v>
      </c>
      <c r="G2310" s="20" t="s">
        <v>2595</v>
      </c>
      <c r="H2310" s="19" t="str">
        <f>HYPERLINK("https://elefant.by/catalogue/170933033","Посмотреть на сайте ...")</f>
        <v>Посмотреть на сайте ...</v>
      </c>
    </row>
    <row r="2311" spans="1:8" s="16" customFormat="1" x14ac:dyDescent="0.25">
      <c r="A2311" s="17">
        <v>2301</v>
      </c>
      <c r="B2311" s="17" t="s">
        <v>9</v>
      </c>
      <c r="C2311" s="17" t="s">
        <v>2596</v>
      </c>
      <c r="D2311" s="18">
        <v>20</v>
      </c>
      <c r="E2311" s="18">
        <v>3.12</v>
      </c>
      <c r="F2311" s="18">
        <v>3.74</v>
      </c>
      <c r="G2311" s="20" t="s">
        <v>2597</v>
      </c>
      <c r="H2311" s="19" t="str">
        <f>HYPERLINK("https://elefant.by/catalogue/170933032","Посмотреть на сайте ...")</f>
        <v>Посмотреть на сайте ...</v>
      </c>
    </row>
    <row r="2312" spans="1:8" s="16" customFormat="1" x14ac:dyDescent="0.25">
      <c r="A2312" s="17">
        <v>2302</v>
      </c>
      <c r="B2312" s="17" t="s">
        <v>9</v>
      </c>
      <c r="C2312" s="17" t="s">
        <v>2598</v>
      </c>
      <c r="D2312" s="18">
        <v>20</v>
      </c>
      <c r="E2312" s="18">
        <v>3.36</v>
      </c>
      <c r="F2312" s="18">
        <v>4.03</v>
      </c>
      <c r="G2312" s="20" t="s">
        <v>2599</v>
      </c>
      <c r="H2312" s="19" t="str">
        <f>HYPERLINK("https://elefant.by/catalogue/168277203","Посмотреть на сайте ...")</f>
        <v>Посмотреть на сайте ...</v>
      </c>
    </row>
    <row r="2313" spans="1:8" s="16" customFormat="1" x14ac:dyDescent="0.25">
      <c r="A2313" s="17">
        <v>2303</v>
      </c>
      <c r="B2313" s="17" t="s">
        <v>9</v>
      </c>
      <c r="C2313" s="17" t="s">
        <v>2600</v>
      </c>
      <c r="D2313" s="18">
        <v>20</v>
      </c>
      <c r="E2313" s="18">
        <v>3.36</v>
      </c>
      <c r="F2313" s="18">
        <v>4.03</v>
      </c>
      <c r="G2313" s="20" t="s">
        <v>2601</v>
      </c>
      <c r="H2313" s="19" t="str">
        <f>HYPERLINK("https://elefant.by/catalogue/168277200","Посмотреть на сайте ...")</f>
        <v>Посмотреть на сайте ...</v>
      </c>
    </row>
    <row r="2314" spans="1:8" s="16" customFormat="1" x14ac:dyDescent="0.25">
      <c r="A2314" s="17">
        <v>2304</v>
      </c>
      <c r="B2314" s="17" t="s">
        <v>63</v>
      </c>
      <c r="C2314" s="17" t="s">
        <v>2616</v>
      </c>
      <c r="D2314" s="18">
        <v>25</v>
      </c>
      <c r="E2314" s="18">
        <v>2.41</v>
      </c>
      <c r="F2314" s="18">
        <v>2.89</v>
      </c>
      <c r="G2314" s="20" t="s">
        <v>2617</v>
      </c>
      <c r="H2314" s="19" t="str">
        <f>HYPERLINK("https://elefant.by/catalogue/581313783","Посмотреть на сайте ...")</f>
        <v>Посмотреть на сайте ...</v>
      </c>
    </row>
    <row r="2315" spans="1:8" s="16" customFormat="1" x14ac:dyDescent="0.25">
      <c r="A2315" s="17">
        <v>2305</v>
      </c>
      <c r="B2315" s="17" t="s">
        <v>63</v>
      </c>
      <c r="C2315" s="17" t="s">
        <v>2618</v>
      </c>
      <c r="D2315" s="18">
        <v>25</v>
      </c>
      <c r="E2315" s="18">
        <v>2.41</v>
      </c>
      <c r="F2315" s="18">
        <v>2.89</v>
      </c>
      <c r="G2315" s="20" t="s">
        <v>2619</v>
      </c>
      <c r="H2315" s="19" t="str">
        <f>HYPERLINK("https://elefant.by/catalogue/581313782","Посмотреть на сайте ...")</f>
        <v>Посмотреть на сайте ...</v>
      </c>
    </row>
    <row r="2316" spans="1:8" s="16" customFormat="1" x14ac:dyDescent="0.25">
      <c r="A2316" s="17">
        <v>2306</v>
      </c>
      <c r="B2316" s="17" t="s">
        <v>63</v>
      </c>
      <c r="C2316" s="17" t="s">
        <v>2620</v>
      </c>
      <c r="D2316" s="18">
        <v>25</v>
      </c>
      <c r="E2316" s="18">
        <v>2.41</v>
      </c>
      <c r="F2316" s="18">
        <v>2.89</v>
      </c>
      <c r="G2316" s="20" t="s">
        <v>2621</v>
      </c>
      <c r="H2316" s="19" t="str">
        <f>HYPERLINK("https://elefant.by/catalogue/581313781","Посмотреть на сайте ...")</f>
        <v>Посмотреть на сайте ...</v>
      </c>
    </row>
    <row r="2317" spans="1:8" s="16" customFormat="1" x14ac:dyDescent="0.25">
      <c r="A2317" s="17">
        <v>2307</v>
      </c>
      <c r="B2317" s="17" t="s">
        <v>63</v>
      </c>
      <c r="C2317" s="17" t="s">
        <v>2622</v>
      </c>
      <c r="D2317" s="18">
        <v>25</v>
      </c>
      <c r="E2317" s="18">
        <v>2.41</v>
      </c>
      <c r="F2317" s="18">
        <v>2.89</v>
      </c>
      <c r="G2317" s="20" t="s">
        <v>2623</v>
      </c>
      <c r="H2317" s="19" t="str">
        <f>HYPERLINK("https://elefant.by/catalogue/567441329","Посмотреть на сайте ...")</f>
        <v>Посмотреть на сайте ...</v>
      </c>
    </row>
    <row r="2318" spans="1:8" s="16" customFormat="1" x14ac:dyDescent="0.25">
      <c r="A2318" s="17">
        <v>2308</v>
      </c>
      <c r="B2318" s="17" t="s">
        <v>63</v>
      </c>
      <c r="C2318" s="17" t="s">
        <v>2602</v>
      </c>
      <c r="D2318" s="18">
        <v>25</v>
      </c>
      <c r="E2318" s="18">
        <v>2.99</v>
      </c>
      <c r="F2318" s="18">
        <v>3.59</v>
      </c>
      <c r="G2318" s="20" t="s">
        <v>2603</v>
      </c>
      <c r="H2318" s="19" t="str">
        <f>HYPERLINK("https://elefant.by/catalogue/622675968","Посмотреть на сайте ...")</f>
        <v>Посмотреть на сайте ...</v>
      </c>
    </row>
    <row r="2319" spans="1:8" s="16" customFormat="1" x14ac:dyDescent="0.25">
      <c r="A2319" s="17">
        <v>2309</v>
      </c>
      <c r="B2319" s="17" t="s">
        <v>63</v>
      </c>
      <c r="C2319" s="17" t="s">
        <v>2604</v>
      </c>
      <c r="D2319" s="18">
        <v>25</v>
      </c>
      <c r="E2319" s="18">
        <v>2.99</v>
      </c>
      <c r="F2319" s="18">
        <v>3.59</v>
      </c>
      <c r="G2319" s="20" t="s">
        <v>2605</v>
      </c>
      <c r="H2319" s="19" t="str">
        <f>HYPERLINK("https://elefant.by/catalogue/619057572","Посмотреть на сайте ...")</f>
        <v>Посмотреть на сайте ...</v>
      </c>
    </row>
    <row r="2320" spans="1:8" s="16" customFormat="1" x14ac:dyDescent="0.25">
      <c r="A2320" s="17">
        <v>2310</v>
      </c>
      <c r="B2320" s="17" t="s">
        <v>63</v>
      </c>
      <c r="C2320" s="17" t="s">
        <v>2606</v>
      </c>
      <c r="D2320" s="18">
        <v>25</v>
      </c>
      <c r="E2320" s="18">
        <v>2.99</v>
      </c>
      <c r="F2320" s="18">
        <v>3.59</v>
      </c>
      <c r="G2320" s="20" t="s">
        <v>2607</v>
      </c>
      <c r="H2320" s="19" t="str">
        <f>HYPERLINK("https://elefant.by/catalogue/622675967","Посмотреть на сайте ...")</f>
        <v>Посмотреть на сайте ...</v>
      </c>
    </row>
    <row r="2321" spans="1:8" s="16" customFormat="1" x14ac:dyDescent="0.25">
      <c r="A2321" s="17">
        <v>2311</v>
      </c>
      <c r="B2321" s="17" t="s">
        <v>63</v>
      </c>
      <c r="C2321" s="17" t="s">
        <v>2608</v>
      </c>
      <c r="D2321" s="18">
        <v>25</v>
      </c>
      <c r="E2321" s="18">
        <v>2.99</v>
      </c>
      <c r="F2321" s="18">
        <v>3.59</v>
      </c>
      <c r="G2321" s="20" t="s">
        <v>2609</v>
      </c>
      <c r="H2321" s="19" t="str">
        <f>HYPERLINK("https://elefant.by/catalogue/586331325","Посмотреть на сайте ...")</f>
        <v>Посмотреть на сайте ...</v>
      </c>
    </row>
    <row r="2322" spans="1:8" s="16" customFormat="1" x14ac:dyDescent="0.25">
      <c r="A2322" s="17">
        <v>2312</v>
      </c>
      <c r="B2322" s="17" t="s">
        <v>63</v>
      </c>
      <c r="C2322" s="17" t="s">
        <v>2610</v>
      </c>
      <c r="D2322" s="18">
        <v>25</v>
      </c>
      <c r="E2322" s="18">
        <v>2.99</v>
      </c>
      <c r="F2322" s="18">
        <v>3.59</v>
      </c>
      <c r="G2322" s="20" t="s">
        <v>2611</v>
      </c>
      <c r="H2322" s="19" t="str">
        <f>HYPERLINK("https://elefant.by/catalogue/581313785","Посмотреть на сайте ...")</f>
        <v>Посмотреть на сайте ...</v>
      </c>
    </row>
    <row r="2323" spans="1:8" s="16" customFormat="1" x14ac:dyDescent="0.25">
      <c r="A2323" s="17">
        <v>2313</v>
      </c>
      <c r="B2323" s="17" t="s">
        <v>63</v>
      </c>
      <c r="C2323" s="17" t="s">
        <v>2612</v>
      </c>
      <c r="D2323" s="18">
        <v>25</v>
      </c>
      <c r="E2323" s="18">
        <v>2.99</v>
      </c>
      <c r="F2323" s="18">
        <v>3.59</v>
      </c>
      <c r="G2323" s="20" t="s">
        <v>2613</v>
      </c>
      <c r="H2323" s="19" t="str">
        <f>HYPERLINK("https://elefant.by/catalogue/626228114","Посмотреть на сайте ...")</f>
        <v>Посмотреть на сайте ...</v>
      </c>
    </row>
    <row r="2324" spans="1:8" s="16" customFormat="1" x14ac:dyDescent="0.25">
      <c r="A2324" s="17">
        <v>2314</v>
      </c>
      <c r="B2324" s="17" t="s">
        <v>63</v>
      </c>
      <c r="C2324" s="17" t="s">
        <v>2614</v>
      </c>
      <c r="D2324" s="18">
        <v>25</v>
      </c>
      <c r="E2324" s="18">
        <v>2.99</v>
      </c>
      <c r="F2324" s="18">
        <v>3.59</v>
      </c>
      <c r="G2324" s="20" t="s">
        <v>2615</v>
      </c>
      <c r="H2324" s="19" t="str">
        <f>HYPERLINK("https://elefant.by/catalogue/581313784","Посмотреть на сайте ...")</f>
        <v>Посмотреть на сайте ...</v>
      </c>
    </row>
    <row r="2325" spans="1:8" s="16" customFormat="1" x14ac:dyDescent="0.25">
      <c r="A2325" s="17">
        <v>2315</v>
      </c>
      <c r="B2325" s="17" t="s">
        <v>9</v>
      </c>
      <c r="C2325" s="17" t="s">
        <v>2624</v>
      </c>
      <c r="D2325" s="18">
        <v>25</v>
      </c>
      <c r="E2325" s="18">
        <v>2.76</v>
      </c>
      <c r="F2325" s="18">
        <v>3.31</v>
      </c>
      <c r="G2325" s="20" t="s">
        <v>2625</v>
      </c>
      <c r="H2325" s="19" t="str">
        <f>HYPERLINK("https://elefant.by/catalogue/167937780","Посмотреть на сайте ...")</f>
        <v>Посмотреть на сайте ...</v>
      </c>
    </row>
    <row r="2326" spans="1:8" s="16" customFormat="1" x14ac:dyDescent="0.25">
      <c r="A2326" s="17">
        <v>2316</v>
      </c>
      <c r="B2326" s="17" t="s">
        <v>9</v>
      </c>
      <c r="C2326" s="17" t="s">
        <v>2626</v>
      </c>
      <c r="D2326" s="18">
        <v>25</v>
      </c>
      <c r="E2326" s="18">
        <v>2.48</v>
      </c>
      <c r="F2326" s="18">
        <v>2.98</v>
      </c>
      <c r="G2326" s="20" t="s">
        <v>2627</v>
      </c>
      <c r="H2326" s="19" t="str">
        <f>HYPERLINK("https://elefant.by/catalogue/330929071","Посмотреть на сайте ...")</f>
        <v>Посмотреть на сайте ...</v>
      </c>
    </row>
    <row r="2327" spans="1:8" s="16" customFormat="1" x14ac:dyDescent="0.25">
      <c r="A2327" s="17">
        <v>2317</v>
      </c>
      <c r="B2327" s="17" t="s">
        <v>9</v>
      </c>
      <c r="C2327" s="17" t="s">
        <v>2628</v>
      </c>
      <c r="D2327" s="18">
        <v>25</v>
      </c>
      <c r="E2327" s="18">
        <v>3.26</v>
      </c>
      <c r="F2327" s="18">
        <v>3.91</v>
      </c>
      <c r="G2327" s="20" t="s">
        <v>2629</v>
      </c>
      <c r="H2327" s="19" t="str">
        <f>HYPERLINK("https://elefant.by/catalogue/486268402","Посмотреть на сайте ...")</f>
        <v>Посмотреть на сайте ...</v>
      </c>
    </row>
    <row r="2328" spans="1:8" s="16" customFormat="1" x14ac:dyDescent="0.25">
      <c r="A2328" s="17">
        <v>2318</v>
      </c>
      <c r="B2328" s="17" t="s">
        <v>9</v>
      </c>
      <c r="C2328" s="17" t="s">
        <v>2630</v>
      </c>
      <c r="D2328" s="18">
        <v>25</v>
      </c>
      <c r="E2328" s="18">
        <v>3.26</v>
      </c>
      <c r="F2328" s="18">
        <v>3.91</v>
      </c>
      <c r="G2328" s="20" t="s">
        <v>2631</v>
      </c>
      <c r="H2328" s="19" t="str">
        <f>HYPERLINK("https://elefant.by/catalogue/486268401","Посмотреть на сайте ...")</f>
        <v>Посмотреть на сайте ...</v>
      </c>
    </row>
    <row r="2329" spans="1:8" s="16" customFormat="1" x14ac:dyDescent="0.25">
      <c r="A2329" s="17">
        <v>2319</v>
      </c>
      <c r="B2329" s="17" t="s">
        <v>9</v>
      </c>
      <c r="C2329" s="17" t="s">
        <v>2632</v>
      </c>
      <c r="D2329" s="18">
        <v>25</v>
      </c>
      <c r="E2329" s="18">
        <v>3.26</v>
      </c>
      <c r="F2329" s="18">
        <v>3.91</v>
      </c>
      <c r="G2329" s="20" t="s">
        <v>2633</v>
      </c>
      <c r="H2329" s="19" t="str">
        <f>HYPERLINK("https://elefant.by/catalogue/486268403","Посмотреть на сайте ...")</f>
        <v>Посмотреть на сайте ...</v>
      </c>
    </row>
    <row r="2330" spans="1:8" s="16" customFormat="1" x14ac:dyDescent="0.25">
      <c r="A2330" s="17">
        <v>2320</v>
      </c>
      <c r="B2330" s="17" t="s">
        <v>9</v>
      </c>
      <c r="C2330" s="17" t="s">
        <v>2634</v>
      </c>
      <c r="D2330" s="18">
        <v>25</v>
      </c>
      <c r="E2330" s="18">
        <v>3.26</v>
      </c>
      <c r="F2330" s="18">
        <v>3.91</v>
      </c>
      <c r="G2330" s="20" t="s">
        <v>2635</v>
      </c>
      <c r="H2330" s="19" t="str">
        <f>HYPERLINK("https://elefant.by/catalogue/486268405","Посмотреть на сайте ...")</f>
        <v>Посмотреть на сайте ...</v>
      </c>
    </row>
    <row r="2331" spans="1:8" s="16" customFormat="1" x14ac:dyDescent="0.25">
      <c r="A2331" s="17">
        <v>2321</v>
      </c>
      <c r="B2331" s="17" t="s">
        <v>9</v>
      </c>
      <c r="C2331" s="17" t="s">
        <v>2636</v>
      </c>
      <c r="D2331" s="18">
        <v>25</v>
      </c>
      <c r="E2331" s="18">
        <v>3.26</v>
      </c>
      <c r="F2331" s="18">
        <v>3.91</v>
      </c>
      <c r="G2331" s="20" t="s">
        <v>2637</v>
      </c>
      <c r="H2331" s="19" t="str">
        <f>HYPERLINK("https://elefant.by/catalogue/486268404","Посмотреть на сайте ...")</f>
        <v>Посмотреть на сайте ...</v>
      </c>
    </row>
    <row r="2332" spans="1:8" s="16" customFormat="1" x14ac:dyDescent="0.25">
      <c r="A2332" s="17">
        <v>2322</v>
      </c>
      <c r="B2332" s="17" t="s">
        <v>9</v>
      </c>
      <c r="C2332" s="17" t="s">
        <v>2638</v>
      </c>
      <c r="D2332" s="18">
        <v>25</v>
      </c>
      <c r="E2332" s="18">
        <v>3.34</v>
      </c>
      <c r="F2332" s="18">
        <v>4.01</v>
      </c>
      <c r="G2332" s="20" t="s">
        <v>2639</v>
      </c>
      <c r="H2332" s="19" t="str">
        <f>HYPERLINK("https://elefant.by/catalogue/621223474","Посмотреть на сайте ...")</f>
        <v>Посмотреть на сайте ...</v>
      </c>
    </row>
    <row r="2333" spans="1:8" s="16" customFormat="1" x14ac:dyDescent="0.25">
      <c r="A2333" s="17">
        <v>2323</v>
      </c>
      <c r="B2333" s="17" t="s">
        <v>9</v>
      </c>
      <c r="C2333" s="17" t="s">
        <v>2640</v>
      </c>
      <c r="D2333" s="18">
        <v>25</v>
      </c>
      <c r="E2333" s="18">
        <v>3.34</v>
      </c>
      <c r="F2333" s="18">
        <v>4.01</v>
      </c>
      <c r="G2333" s="20" t="s">
        <v>2641</v>
      </c>
      <c r="H2333" s="19" t="str">
        <f>HYPERLINK("https://elefant.by/catalogue/621223475","Посмотреть на сайте ...")</f>
        <v>Посмотреть на сайте ...</v>
      </c>
    </row>
    <row r="2334" spans="1:8" s="16" customFormat="1" x14ac:dyDescent="0.25">
      <c r="A2334" s="17">
        <v>2324</v>
      </c>
      <c r="B2334" s="17" t="s">
        <v>9</v>
      </c>
      <c r="C2334" s="17" t="s">
        <v>3962</v>
      </c>
      <c r="D2334" s="18">
        <v>25</v>
      </c>
      <c r="E2334" s="18">
        <v>3.34</v>
      </c>
      <c r="F2334" s="18">
        <v>4.01</v>
      </c>
      <c r="G2334" s="20" t="s">
        <v>5007</v>
      </c>
      <c r="H2334" s="19" t="str">
        <f>HYPERLINK("https://elefant.by/catalogue/699663257","Посмотреть на сайте ...")</f>
        <v>Посмотреть на сайте ...</v>
      </c>
    </row>
    <row r="2335" spans="1:8" s="16" customFormat="1" x14ac:dyDescent="0.25">
      <c r="A2335" s="17">
        <v>2325</v>
      </c>
      <c r="B2335" s="17" t="s">
        <v>9</v>
      </c>
      <c r="C2335" s="17" t="s">
        <v>2642</v>
      </c>
      <c r="D2335" s="18">
        <v>25</v>
      </c>
      <c r="E2335" s="18">
        <v>2.93</v>
      </c>
      <c r="F2335" s="18">
        <v>3.52</v>
      </c>
      <c r="G2335" s="20" t="s">
        <v>2643</v>
      </c>
      <c r="H2335" s="19" t="str">
        <f>HYPERLINK("https://elefant.by/catalogue/168094759","Посмотреть на сайте ...")</f>
        <v>Посмотреть на сайте ...</v>
      </c>
    </row>
    <row r="2336" spans="1:8" s="16" customFormat="1" x14ac:dyDescent="0.25">
      <c r="A2336" s="17">
        <v>2326</v>
      </c>
      <c r="B2336" s="17" t="s">
        <v>9</v>
      </c>
      <c r="C2336" s="17" t="s">
        <v>3963</v>
      </c>
      <c r="D2336" s="18">
        <v>25</v>
      </c>
      <c r="E2336" s="18">
        <v>2.93</v>
      </c>
      <c r="F2336" s="18">
        <v>3.52</v>
      </c>
      <c r="G2336" s="20" t="s">
        <v>5008</v>
      </c>
      <c r="H2336" s="19" t="str">
        <f>HYPERLINK("https://elefant.by/catalogue/169521284","Посмотреть на сайте ...")</f>
        <v>Посмотреть на сайте ...</v>
      </c>
    </row>
    <row r="2337" spans="1:8" s="16" customFormat="1" x14ac:dyDescent="0.25">
      <c r="A2337" s="17">
        <v>2327</v>
      </c>
      <c r="B2337" s="17" t="s">
        <v>9</v>
      </c>
      <c r="C2337" s="17" t="s">
        <v>2644</v>
      </c>
      <c r="D2337" s="18">
        <v>25</v>
      </c>
      <c r="E2337" s="18">
        <v>2.93</v>
      </c>
      <c r="F2337" s="18">
        <v>3.52</v>
      </c>
      <c r="G2337" s="20" t="s">
        <v>2645</v>
      </c>
      <c r="H2337" s="19" t="str">
        <f>HYPERLINK("https://elefant.by/catalogue/168094758","Посмотреть на сайте ...")</f>
        <v>Посмотреть на сайте ...</v>
      </c>
    </row>
    <row r="2338" spans="1:8" s="16" customFormat="1" x14ac:dyDescent="0.25">
      <c r="A2338" s="17">
        <v>2328</v>
      </c>
      <c r="B2338" s="17" t="s">
        <v>9</v>
      </c>
      <c r="C2338" s="17" t="s">
        <v>3964</v>
      </c>
      <c r="D2338" s="18">
        <v>25</v>
      </c>
      <c r="E2338" s="18">
        <v>2.93</v>
      </c>
      <c r="F2338" s="18">
        <v>3.52</v>
      </c>
      <c r="G2338" s="20" t="s">
        <v>5009</v>
      </c>
      <c r="H2338" s="19" t="str">
        <f>HYPERLINK("https://elefant.by/catalogue/168094757","Посмотреть на сайте ...")</f>
        <v>Посмотреть на сайте ...</v>
      </c>
    </row>
    <row r="2339" spans="1:8" s="16" customFormat="1" x14ac:dyDescent="0.25">
      <c r="A2339" s="17">
        <v>2329</v>
      </c>
      <c r="B2339" s="17" t="s">
        <v>9</v>
      </c>
      <c r="C2339" s="17" t="s">
        <v>2646</v>
      </c>
      <c r="D2339" s="18">
        <v>25</v>
      </c>
      <c r="E2339" s="18">
        <v>3.39</v>
      </c>
      <c r="F2339" s="18">
        <v>4.07</v>
      </c>
      <c r="G2339" s="20" t="s">
        <v>2647</v>
      </c>
      <c r="H2339" s="19" t="str">
        <f>HYPERLINK("https://elefant.by/catalogue/167937786","Посмотреть на сайте ...")</f>
        <v>Посмотреть на сайте ...</v>
      </c>
    </row>
    <row r="2340" spans="1:8" s="16" customFormat="1" x14ac:dyDescent="0.25">
      <c r="A2340" s="17">
        <v>2330</v>
      </c>
      <c r="B2340" s="17" t="s">
        <v>9</v>
      </c>
      <c r="C2340" s="17" t="s">
        <v>2648</v>
      </c>
      <c r="D2340" s="18">
        <v>25</v>
      </c>
      <c r="E2340" s="18">
        <v>3.39</v>
      </c>
      <c r="F2340" s="18">
        <v>4.07</v>
      </c>
      <c r="G2340" s="20" t="s">
        <v>2649</v>
      </c>
      <c r="H2340" s="19" t="str">
        <f>HYPERLINK("https://elefant.by/catalogue/167937787","Посмотреть на сайте ...")</f>
        <v>Посмотреть на сайте ...</v>
      </c>
    </row>
    <row r="2341" spans="1:8" s="16" customFormat="1" x14ac:dyDescent="0.25">
      <c r="A2341" s="17">
        <v>2331</v>
      </c>
      <c r="B2341" s="17" t="s">
        <v>9</v>
      </c>
      <c r="C2341" s="17" t="s">
        <v>2650</v>
      </c>
      <c r="D2341" s="18">
        <v>25</v>
      </c>
      <c r="E2341" s="18">
        <v>3.39</v>
      </c>
      <c r="F2341" s="18">
        <v>4.07</v>
      </c>
      <c r="G2341" s="20" t="s">
        <v>2651</v>
      </c>
      <c r="H2341" s="19" t="str">
        <f>HYPERLINK("https://elefant.by/catalogue/174619838","Посмотреть на сайте ...")</f>
        <v>Посмотреть на сайте ...</v>
      </c>
    </row>
    <row r="2342" spans="1:8" s="16" customFormat="1" x14ac:dyDescent="0.25">
      <c r="A2342" s="17">
        <v>2332</v>
      </c>
      <c r="B2342" s="17" t="s">
        <v>9</v>
      </c>
      <c r="C2342" s="17" t="s">
        <v>2652</v>
      </c>
      <c r="D2342" s="18">
        <v>25</v>
      </c>
      <c r="E2342" s="18">
        <v>3.39</v>
      </c>
      <c r="F2342" s="18">
        <v>4.07</v>
      </c>
      <c r="G2342" s="20" t="s">
        <v>2653</v>
      </c>
      <c r="H2342" s="19" t="str">
        <f>HYPERLINK("https://elefant.by/catalogue/167937784","Посмотреть на сайте ...")</f>
        <v>Посмотреть на сайте ...</v>
      </c>
    </row>
    <row r="2343" spans="1:8" s="16" customFormat="1" x14ac:dyDescent="0.25">
      <c r="A2343" s="17">
        <v>2333</v>
      </c>
      <c r="B2343" s="17" t="s">
        <v>9</v>
      </c>
      <c r="C2343" s="17" t="s">
        <v>2654</v>
      </c>
      <c r="D2343" s="18">
        <v>25</v>
      </c>
      <c r="E2343" s="18">
        <v>3.39</v>
      </c>
      <c r="F2343" s="18">
        <v>4.07</v>
      </c>
      <c r="G2343" s="20" t="s">
        <v>2655</v>
      </c>
      <c r="H2343" s="19" t="str">
        <f>HYPERLINK("https://elefant.by/catalogue/167937783","Посмотреть на сайте ...")</f>
        <v>Посмотреть на сайте ...</v>
      </c>
    </row>
    <row r="2344" spans="1:8" s="16" customFormat="1" x14ac:dyDescent="0.25">
      <c r="A2344" s="17">
        <v>2334</v>
      </c>
      <c r="B2344" s="17" t="s">
        <v>9</v>
      </c>
      <c r="C2344" s="17" t="s">
        <v>2656</v>
      </c>
      <c r="D2344" s="18">
        <v>25</v>
      </c>
      <c r="E2344" s="18">
        <v>3.39</v>
      </c>
      <c r="F2344" s="18">
        <v>4.07</v>
      </c>
      <c r="G2344" s="20" t="s">
        <v>2657</v>
      </c>
      <c r="H2344" s="19" t="str">
        <f>HYPERLINK("https://elefant.by/catalogue/167937785","Посмотреть на сайте ...")</f>
        <v>Посмотреть на сайте ...</v>
      </c>
    </row>
    <row r="2345" spans="1:8" s="16" customFormat="1" x14ac:dyDescent="0.25">
      <c r="A2345" s="17">
        <v>2335</v>
      </c>
      <c r="B2345" s="17" t="s">
        <v>9</v>
      </c>
      <c r="C2345" s="17" t="s">
        <v>2658</v>
      </c>
      <c r="D2345" s="18">
        <v>25</v>
      </c>
      <c r="E2345" s="18">
        <v>3.39</v>
      </c>
      <c r="F2345" s="18">
        <v>4.07</v>
      </c>
      <c r="G2345" s="20" t="s">
        <v>2659</v>
      </c>
      <c r="H2345" s="19" t="str">
        <f>HYPERLINK("https://elefant.by/catalogue/168094767","Посмотреть на сайте ...")</f>
        <v>Посмотреть на сайте ...</v>
      </c>
    </row>
    <row r="2346" spans="1:8" s="16" customFormat="1" x14ac:dyDescent="0.25">
      <c r="A2346" s="17">
        <v>2336</v>
      </c>
      <c r="B2346" s="17" t="s">
        <v>9</v>
      </c>
      <c r="C2346" s="17" t="s">
        <v>2660</v>
      </c>
      <c r="D2346" s="18">
        <v>25</v>
      </c>
      <c r="E2346" s="18">
        <v>3.39</v>
      </c>
      <c r="F2346" s="18">
        <v>4.07</v>
      </c>
      <c r="G2346" s="20" t="s">
        <v>2661</v>
      </c>
      <c r="H2346" s="19" t="str">
        <f>HYPERLINK("https://elefant.by/catalogue/167937782","Посмотреть на сайте ...")</f>
        <v>Посмотреть на сайте ...</v>
      </c>
    </row>
    <row r="2347" spans="1:8" s="16" customFormat="1" x14ac:dyDescent="0.25">
      <c r="A2347" s="17">
        <v>2337</v>
      </c>
      <c r="B2347" s="17" t="s">
        <v>9</v>
      </c>
      <c r="C2347" s="17" t="s">
        <v>2662</v>
      </c>
      <c r="D2347" s="18">
        <v>25</v>
      </c>
      <c r="E2347" s="18">
        <v>3.58</v>
      </c>
      <c r="F2347" s="18">
        <v>4.3</v>
      </c>
      <c r="G2347" s="20" t="s">
        <v>2663</v>
      </c>
      <c r="H2347" s="19" t="str">
        <f>HYPERLINK("https://elefant.by/catalogue/176432831","Посмотреть на сайте ...")</f>
        <v>Посмотреть на сайте ...</v>
      </c>
    </row>
    <row r="2348" spans="1:8" s="16" customFormat="1" x14ac:dyDescent="0.25">
      <c r="A2348" s="17">
        <v>2338</v>
      </c>
      <c r="B2348" s="17" t="s">
        <v>9</v>
      </c>
      <c r="C2348" s="17" t="s">
        <v>2664</v>
      </c>
      <c r="D2348" s="18">
        <v>25</v>
      </c>
      <c r="E2348" s="18">
        <v>3.58</v>
      </c>
      <c r="F2348" s="18">
        <v>4.3</v>
      </c>
      <c r="G2348" s="20" t="s">
        <v>2665</v>
      </c>
      <c r="H2348" s="19" t="str">
        <f>HYPERLINK("https://elefant.by/catalogue/176432830","Посмотреть на сайте ...")</f>
        <v>Посмотреть на сайте ...</v>
      </c>
    </row>
    <row r="2349" spans="1:8" s="16" customFormat="1" x14ac:dyDescent="0.25">
      <c r="A2349" s="17">
        <v>2339</v>
      </c>
      <c r="B2349" s="17" t="s">
        <v>9</v>
      </c>
      <c r="C2349" s="17" t="s">
        <v>2666</v>
      </c>
      <c r="D2349" s="18">
        <v>25</v>
      </c>
      <c r="E2349" s="18">
        <v>3.58</v>
      </c>
      <c r="F2349" s="18">
        <v>4.3</v>
      </c>
      <c r="G2349" s="20" t="s">
        <v>2667</v>
      </c>
      <c r="H2349" s="19" t="str">
        <f>HYPERLINK("https://elefant.by/catalogue/178369938","Посмотреть на сайте ...")</f>
        <v>Посмотреть на сайте ...</v>
      </c>
    </row>
    <row r="2350" spans="1:8" s="16" customFormat="1" x14ac:dyDescent="0.25">
      <c r="A2350" s="17">
        <v>2340</v>
      </c>
      <c r="B2350" s="17" t="s">
        <v>132</v>
      </c>
      <c r="C2350" s="17" t="s">
        <v>2668</v>
      </c>
      <c r="D2350" s="18">
        <v>1</v>
      </c>
      <c r="E2350" s="18">
        <v>3.7</v>
      </c>
      <c r="F2350" s="18">
        <v>4.4400000000000004</v>
      </c>
      <c r="G2350" s="20" t="s">
        <v>2669</v>
      </c>
      <c r="H2350" s="19" t="str">
        <f>HYPERLINK("https://elefant.by/catalogue/562028181","Посмотреть на сайте ...")</f>
        <v>Посмотреть на сайте ...</v>
      </c>
    </row>
    <row r="2351" spans="1:8" s="16" customFormat="1" x14ac:dyDescent="0.25">
      <c r="A2351" s="17">
        <v>2341</v>
      </c>
      <c r="B2351" s="17" t="s">
        <v>132</v>
      </c>
      <c r="C2351" s="17" t="s">
        <v>2670</v>
      </c>
      <c r="D2351" s="18">
        <v>1</v>
      </c>
      <c r="E2351" s="18">
        <v>3.7</v>
      </c>
      <c r="F2351" s="18">
        <v>4.4400000000000004</v>
      </c>
      <c r="G2351" s="20" t="s">
        <v>2671</v>
      </c>
      <c r="H2351" s="19" t="str">
        <f>HYPERLINK("https://elefant.by/catalogue/562028182","Посмотреть на сайте ...")</f>
        <v>Посмотреть на сайте ...</v>
      </c>
    </row>
    <row r="2352" spans="1:8" s="16" customFormat="1" x14ac:dyDescent="0.25">
      <c r="A2352" s="17">
        <v>2342</v>
      </c>
      <c r="B2352" s="17" t="s">
        <v>9</v>
      </c>
      <c r="C2352" s="17" t="s">
        <v>2672</v>
      </c>
      <c r="D2352" s="18">
        <v>20</v>
      </c>
      <c r="E2352" s="18">
        <v>2.76</v>
      </c>
      <c r="F2352" s="18">
        <v>3.31</v>
      </c>
      <c r="G2352" s="20" t="s">
        <v>2673</v>
      </c>
      <c r="H2352" s="19" t="str">
        <f>HYPERLINK("https://elefant.by/catalogue/154410078","Посмотреть на сайте ...")</f>
        <v>Посмотреть на сайте ...</v>
      </c>
    </row>
    <row r="2353" spans="1:8" s="16" customFormat="1" x14ac:dyDescent="0.25">
      <c r="A2353" s="17">
        <v>2343</v>
      </c>
      <c r="B2353" s="17" t="s">
        <v>9</v>
      </c>
      <c r="C2353" s="17" t="s">
        <v>2674</v>
      </c>
      <c r="D2353" s="18">
        <v>50</v>
      </c>
      <c r="E2353" s="18">
        <v>2.48</v>
      </c>
      <c r="F2353" s="18">
        <v>2.98</v>
      </c>
      <c r="G2353" s="20" t="s">
        <v>2675</v>
      </c>
      <c r="H2353" s="19" t="str">
        <f>HYPERLINK("https://elefant.by/catalogue/178563848","Посмотреть на сайте ...")</f>
        <v>Посмотреть на сайте ...</v>
      </c>
    </row>
    <row r="2354" spans="1:8" s="16" customFormat="1" x14ac:dyDescent="0.25">
      <c r="A2354" s="17">
        <v>2344</v>
      </c>
      <c r="B2354" s="17" t="s">
        <v>9</v>
      </c>
      <c r="C2354" s="17" t="s">
        <v>2676</v>
      </c>
      <c r="D2354" s="18">
        <v>20</v>
      </c>
      <c r="E2354" s="18">
        <v>3.26</v>
      </c>
      <c r="F2354" s="18">
        <v>3.91</v>
      </c>
      <c r="G2354" s="20" t="s">
        <v>2677</v>
      </c>
      <c r="H2354" s="19" t="str">
        <f>HYPERLINK("https://elefant.by/catalogue/486268406","Посмотреть на сайте ...")</f>
        <v>Посмотреть на сайте ...</v>
      </c>
    </row>
    <row r="2355" spans="1:8" s="16" customFormat="1" x14ac:dyDescent="0.25">
      <c r="A2355" s="17">
        <v>2345</v>
      </c>
      <c r="B2355" s="17" t="s">
        <v>9</v>
      </c>
      <c r="C2355" s="17" t="s">
        <v>2678</v>
      </c>
      <c r="D2355" s="18">
        <v>20</v>
      </c>
      <c r="E2355" s="18">
        <v>3.26</v>
      </c>
      <c r="F2355" s="18">
        <v>3.91</v>
      </c>
      <c r="G2355" s="20" t="s">
        <v>2679</v>
      </c>
      <c r="H2355" s="19" t="str">
        <f>HYPERLINK("https://elefant.by/catalogue/486268410","Посмотреть на сайте ...")</f>
        <v>Посмотреть на сайте ...</v>
      </c>
    </row>
    <row r="2356" spans="1:8" s="16" customFormat="1" x14ac:dyDescent="0.25">
      <c r="A2356" s="17">
        <v>2346</v>
      </c>
      <c r="B2356" s="17" t="s">
        <v>9</v>
      </c>
      <c r="C2356" s="17" t="s">
        <v>2680</v>
      </c>
      <c r="D2356" s="18">
        <v>20</v>
      </c>
      <c r="E2356" s="18">
        <v>3.26</v>
      </c>
      <c r="F2356" s="18">
        <v>3.91</v>
      </c>
      <c r="G2356" s="20" t="s">
        <v>2681</v>
      </c>
      <c r="H2356" s="19" t="str">
        <f>HYPERLINK("https://elefant.by/catalogue/486268407","Посмотреть на сайте ...")</f>
        <v>Посмотреть на сайте ...</v>
      </c>
    </row>
    <row r="2357" spans="1:8" s="16" customFormat="1" x14ac:dyDescent="0.25">
      <c r="A2357" s="17">
        <v>2347</v>
      </c>
      <c r="B2357" s="17" t="s">
        <v>9</v>
      </c>
      <c r="C2357" s="17" t="s">
        <v>2682</v>
      </c>
      <c r="D2357" s="18">
        <v>20</v>
      </c>
      <c r="E2357" s="18">
        <v>3.26</v>
      </c>
      <c r="F2357" s="18">
        <v>3.91</v>
      </c>
      <c r="G2357" s="20" t="s">
        <v>2683</v>
      </c>
      <c r="H2357" s="19" t="str">
        <f>HYPERLINK("https://elefant.by/catalogue/486268409","Посмотреть на сайте ...")</f>
        <v>Посмотреть на сайте ...</v>
      </c>
    </row>
    <row r="2358" spans="1:8" s="16" customFormat="1" x14ac:dyDescent="0.25">
      <c r="A2358" s="17">
        <v>2348</v>
      </c>
      <c r="B2358" s="17" t="s">
        <v>9</v>
      </c>
      <c r="C2358" s="17" t="s">
        <v>2684</v>
      </c>
      <c r="D2358" s="18">
        <v>20</v>
      </c>
      <c r="E2358" s="18">
        <v>3.26</v>
      </c>
      <c r="F2358" s="18">
        <v>3.91</v>
      </c>
      <c r="G2358" s="20" t="s">
        <v>2685</v>
      </c>
      <c r="H2358" s="19" t="str">
        <f>HYPERLINK("https://elefant.by/catalogue/486268408","Посмотреть на сайте ...")</f>
        <v>Посмотреть на сайте ...</v>
      </c>
    </row>
    <row r="2359" spans="1:8" s="16" customFormat="1" x14ac:dyDescent="0.25">
      <c r="A2359" s="17">
        <v>2349</v>
      </c>
      <c r="B2359" s="17" t="s">
        <v>9</v>
      </c>
      <c r="C2359" s="17" t="s">
        <v>3965</v>
      </c>
      <c r="D2359" s="18">
        <v>20</v>
      </c>
      <c r="E2359" s="18">
        <v>3.34</v>
      </c>
      <c r="F2359" s="18">
        <v>4.01</v>
      </c>
      <c r="G2359" s="20" t="s">
        <v>5010</v>
      </c>
      <c r="H2359" s="19" t="str">
        <f>HYPERLINK("https://elefant.by/catalogue/699663258","Посмотреть на сайте ...")</f>
        <v>Посмотреть на сайте ...</v>
      </c>
    </row>
    <row r="2360" spans="1:8" s="16" customFormat="1" x14ac:dyDescent="0.25">
      <c r="A2360" s="17">
        <v>2350</v>
      </c>
      <c r="B2360" s="17" t="s">
        <v>9</v>
      </c>
      <c r="C2360" s="17" t="s">
        <v>2686</v>
      </c>
      <c r="D2360" s="18">
        <v>20</v>
      </c>
      <c r="E2360" s="18">
        <v>3.34</v>
      </c>
      <c r="F2360" s="18">
        <v>4.01</v>
      </c>
      <c r="G2360" s="20" t="s">
        <v>2687</v>
      </c>
      <c r="H2360" s="19" t="str">
        <f>HYPERLINK("https://elefant.by/catalogue/572475859","Посмотреть на сайте ...")</f>
        <v>Посмотреть на сайте ...</v>
      </c>
    </row>
    <row r="2361" spans="1:8" s="16" customFormat="1" x14ac:dyDescent="0.25">
      <c r="A2361" s="17">
        <v>2351</v>
      </c>
      <c r="B2361" s="17" t="s">
        <v>9</v>
      </c>
      <c r="C2361" s="17" t="s">
        <v>2688</v>
      </c>
      <c r="D2361" s="18">
        <v>20</v>
      </c>
      <c r="E2361" s="18">
        <v>3.34</v>
      </c>
      <c r="F2361" s="18">
        <v>4.01</v>
      </c>
      <c r="G2361" s="20" t="s">
        <v>2689</v>
      </c>
      <c r="H2361" s="19" t="str">
        <f>HYPERLINK("https://elefant.by/catalogue/572475858","Посмотреть на сайте ...")</f>
        <v>Посмотреть на сайте ...</v>
      </c>
    </row>
    <row r="2362" spans="1:8" s="16" customFormat="1" x14ac:dyDescent="0.25">
      <c r="A2362" s="17">
        <v>2352</v>
      </c>
      <c r="B2362" s="17" t="s">
        <v>9</v>
      </c>
      <c r="C2362" s="17" t="s">
        <v>2690</v>
      </c>
      <c r="D2362" s="18">
        <v>20</v>
      </c>
      <c r="E2362" s="18">
        <v>2.93</v>
      </c>
      <c r="F2362" s="18">
        <v>3.52</v>
      </c>
      <c r="G2362" s="20" t="s">
        <v>2691</v>
      </c>
      <c r="H2362" s="19" t="str">
        <f>HYPERLINK("https://elefant.by/catalogue/169719232","Посмотреть на сайте ...")</f>
        <v>Посмотреть на сайте ...</v>
      </c>
    </row>
    <row r="2363" spans="1:8" s="16" customFormat="1" x14ac:dyDescent="0.25">
      <c r="A2363" s="17">
        <v>2353</v>
      </c>
      <c r="B2363" s="17" t="s">
        <v>9</v>
      </c>
      <c r="C2363" s="17" t="s">
        <v>2692</v>
      </c>
      <c r="D2363" s="18">
        <v>20</v>
      </c>
      <c r="E2363" s="18">
        <v>2.93</v>
      </c>
      <c r="F2363" s="18">
        <v>3.52</v>
      </c>
      <c r="G2363" s="20" t="s">
        <v>2693</v>
      </c>
      <c r="H2363" s="19" t="str">
        <f>HYPERLINK("https://elefant.by/catalogue/169521285","Посмотреть на сайте ...")</f>
        <v>Посмотреть на сайте ...</v>
      </c>
    </row>
    <row r="2364" spans="1:8" s="16" customFormat="1" x14ac:dyDescent="0.25">
      <c r="A2364" s="17">
        <v>2354</v>
      </c>
      <c r="B2364" s="17" t="s">
        <v>9</v>
      </c>
      <c r="C2364" s="17" t="s">
        <v>2694</v>
      </c>
      <c r="D2364" s="18">
        <v>20</v>
      </c>
      <c r="E2364" s="18">
        <v>2.93</v>
      </c>
      <c r="F2364" s="18">
        <v>3.52</v>
      </c>
      <c r="G2364" s="20" t="s">
        <v>2695</v>
      </c>
      <c r="H2364" s="19" t="str">
        <f>HYPERLINK("https://elefant.by/catalogue/169719231","Посмотреть на сайте ...")</f>
        <v>Посмотреть на сайте ...</v>
      </c>
    </row>
    <row r="2365" spans="1:8" s="16" customFormat="1" x14ac:dyDescent="0.25">
      <c r="A2365" s="17">
        <v>2355</v>
      </c>
      <c r="B2365" s="17" t="s">
        <v>9</v>
      </c>
      <c r="C2365" s="17" t="s">
        <v>2696</v>
      </c>
      <c r="D2365" s="18">
        <v>20</v>
      </c>
      <c r="E2365" s="18">
        <v>2.93</v>
      </c>
      <c r="F2365" s="18">
        <v>3.52</v>
      </c>
      <c r="G2365" s="20" t="s">
        <v>2697</v>
      </c>
      <c r="H2365" s="19" t="str">
        <f>HYPERLINK("https://elefant.by/catalogue/168277204","Посмотреть на сайте ...")</f>
        <v>Посмотреть на сайте ...</v>
      </c>
    </row>
    <row r="2366" spans="1:8" s="16" customFormat="1" x14ac:dyDescent="0.25">
      <c r="A2366" s="17">
        <v>2356</v>
      </c>
      <c r="B2366" s="17" t="s">
        <v>9</v>
      </c>
      <c r="C2366" s="17" t="s">
        <v>2698</v>
      </c>
      <c r="D2366" s="18">
        <v>20</v>
      </c>
      <c r="E2366" s="18">
        <v>3.39</v>
      </c>
      <c r="F2366" s="18">
        <v>4.07</v>
      </c>
      <c r="G2366" s="20" t="s">
        <v>2699</v>
      </c>
      <c r="H2366" s="19" t="str">
        <f>HYPERLINK("https://elefant.by/catalogue/168353901","Посмотреть на сайте ...")</f>
        <v>Посмотреть на сайте ...</v>
      </c>
    </row>
    <row r="2367" spans="1:8" s="16" customFormat="1" x14ac:dyDescent="0.25">
      <c r="A2367" s="17">
        <v>2357</v>
      </c>
      <c r="B2367" s="17" t="s">
        <v>9</v>
      </c>
      <c r="C2367" s="17" t="s">
        <v>2700</v>
      </c>
      <c r="D2367" s="18">
        <v>20</v>
      </c>
      <c r="E2367" s="18">
        <v>3.39</v>
      </c>
      <c r="F2367" s="18">
        <v>4.07</v>
      </c>
      <c r="G2367" s="20" t="s">
        <v>2701</v>
      </c>
      <c r="H2367" s="19" t="str">
        <f>HYPERLINK("https://elefant.by/catalogue/168353900","Посмотреть на сайте ...")</f>
        <v>Посмотреть на сайте ...</v>
      </c>
    </row>
    <row r="2368" spans="1:8" s="16" customFormat="1" x14ac:dyDescent="0.25">
      <c r="A2368" s="17">
        <v>2358</v>
      </c>
      <c r="B2368" s="17" t="s">
        <v>9</v>
      </c>
      <c r="C2368" s="17" t="s">
        <v>2702</v>
      </c>
      <c r="D2368" s="18">
        <v>20</v>
      </c>
      <c r="E2368" s="18">
        <v>3.39</v>
      </c>
      <c r="F2368" s="18">
        <v>4.07</v>
      </c>
      <c r="G2368" s="20" t="s">
        <v>2703</v>
      </c>
      <c r="H2368" s="19" t="str">
        <f>HYPERLINK("https://elefant.by/catalogue/174483739","Посмотреть на сайте ...")</f>
        <v>Посмотреть на сайте ...</v>
      </c>
    </row>
    <row r="2369" spans="1:8" s="16" customFormat="1" x14ac:dyDescent="0.25">
      <c r="A2369" s="17">
        <v>2359</v>
      </c>
      <c r="B2369" s="17" t="s">
        <v>9</v>
      </c>
      <c r="C2369" s="17" t="s">
        <v>2704</v>
      </c>
      <c r="D2369" s="18">
        <v>20</v>
      </c>
      <c r="E2369" s="18">
        <v>3.39</v>
      </c>
      <c r="F2369" s="18">
        <v>4.07</v>
      </c>
      <c r="G2369" s="20" t="s">
        <v>2705</v>
      </c>
      <c r="H2369" s="19" t="str">
        <f>HYPERLINK("https://elefant.by/catalogue/168353897","Посмотреть на сайте ...")</f>
        <v>Посмотреть на сайте ...</v>
      </c>
    </row>
    <row r="2370" spans="1:8" s="16" customFormat="1" x14ac:dyDescent="0.25">
      <c r="A2370" s="17">
        <v>2360</v>
      </c>
      <c r="B2370" s="17" t="s">
        <v>9</v>
      </c>
      <c r="C2370" s="17" t="s">
        <v>2706</v>
      </c>
      <c r="D2370" s="18">
        <v>20</v>
      </c>
      <c r="E2370" s="18">
        <v>3.39</v>
      </c>
      <c r="F2370" s="18">
        <v>4.07</v>
      </c>
      <c r="G2370" s="20" t="s">
        <v>2707</v>
      </c>
      <c r="H2370" s="19" t="str">
        <f>HYPERLINK("https://elefant.by/catalogue/168353898","Посмотреть на сайте ...")</f>
        <v>Посмотреть на сайте ...</v>
      </c>
    </row>
    <row r="2371" spans="1:8" s="16" customFormat="1" x14ac:dyDescent="0.25">
      <c r="A2371" s="17">
        <v>2361</v>
      </c>
      <c r="B2371" s="17" t="s">
        <v>9</v>
      </c>
      <c r="C2371" s="17" t="s">
        <v>2708</v>
      </c>
      <c r="D2371" s="18">
        <v>20</v>
      </c>
      <c r="E2371" s="18">
        <v>3.39</v>
      </c>
      <c r="F2371" s="18">
        <v>4.07</v>
      </c>
      <c r="G2371" s="20" t="s">
        <v>2709</v>
      </c>
      <c r="H2371" s="19" t="str">
        <f>HYPERLINK("https://elefant.by/catalogue/168353899","Посмотреть на сайте ...")</f>
        <v>Посмотреть на сайте ...</v>
      </c>
    </row>
    <row r="2372" spans="1:8" s="16" customFormat="1" x14ac:dyDescent="0.25">
      <c r="A2372" s="17">
        <v>2362</v>
      </c>
      <c r="B2372" s="17" t="s">
        <v>9</v>
      </c>
      <c r="C2372" s="17" t="s">
        <v>2710</v>
      </c>
      <c r="D2372" s="18">
        <v>20</v>
      </c>
      <c r="E2372" s="18">
        <v>3.39</v>
      </c>
      <c r="F2372" s="18">
        <v>4.07</v>
      </c>
      <c r="G2372" s="20" t="s">
        <v>2711</v>
      </c>
      <c r="H2372" s="19" t="str">
        <f>HYPERLINK("https://elefant.by/catalogue/168353896","Посмотреть на сайте ...")</f>
        <v>Посмотреть на сайте ...</v>
      </c>
    </row>
    <row r="2373" spans="1:8" s="16" customFormat="1" x14ac:dyDescent="0.25">
      <c r="A2373" s="17">
        <v>2363</v>
      </c>
      <c r="B2373" s="17" t="s">
        <v>9</v>
      </c>
      <c r="C2373" s="17" t="s">
        <v>2712</v>
      </c>
      <c r="D2373" s="18">
        <v>20</v>
      </c>
      <c r="E2373" s="18">
        <v>3.39</v>
      </c>
      <c r="F2373" s="18">
        <v>4.07</v>
      </c>
      <c r="G2373" s="20" t="s">
        <v>2713</v>
      </c>
      <c r="H2373" s="19" t="str">
        <f>HYPERLINK("https://elefant.by/catalogue/168353895","Посмотреть на сайте ...")</f>
        <v>Посмотреть на сайте ...</v>
      </c>
    </row>
    <row r="2374" spans="1:8" s="16" customFormat="1" x14ac:dyDescent="0.25">
      <c r="A2374" s="17">
        <v>2364</v>
      </c>
      <c r="B2374" s="17" t="s">
        <v>9</v>
      </c>
      <c r="C2374" s="17" t="s">
        <v>2714</v>
      </c>
      <c r="D2374" s="18">
        <v>20</v>
      </c>
      <c r="E2374" s="18">
        <v>3.58</v>
      </c>
      <c r="F2374" s="18">
        <v>4.3</v>
      </c>
      <c r="G2374" s="20" t="s">
        <v>2715</v>
      </c>
      <c r="H2374" s="19" t="str">
        <f>HYPERLINK("https://elefant.by/catalogue/174910640","Посмотреть на сайте ...")</f>
        <v>Посмотреть на сайте ...</v>
      </c>
    </row>
    <row r="2375" spans="1:8" s="16" customFormat="1" x14ac:dyDescent="0.25">
      <c r="A2375" s="17">
        <v>2365</v>
      </c>
      <c r="B2375" s="17" t="s">
        <v>9</v>
      </c>
      <c r="C2375" s="17" t="s">
        <v>2716</v>
      </c>
      <c r="D2375" s="18">
        <v>20</v>
      </c>
      <c r="E2375" s="18">
        <v>3.58</v>
      </c>
      <c r="F2375" s="18">
        <v>4.3</v>
      </c>
      <c r="G2375" s="20" t="s">
        <v>2717</v>
      </c>
      <c r="H2375" s="19" t="str">
        <f>HYPERLINK("https://elefant.by/catalogue/174910639","Посмотреть на сайте ...")</f>
        <v>Посмотреть на сайте ...</v>
      </c>
    </row>
    <row r="2376" spans="1:8" s="16" customFormat="1" x14ac:dyDescent="0.25">
      <c r="A2376" s="17">
        <v>2366</v>
      </c>
      <c r="B2376" s="17" t="s">
        <v>9</v>
      </c>
      <c r="C2376" s="17" t="s">
        <v>2718</v>
      </c>
      <c r="D2376" s="18">
        <v>20</v>
      </c>
      <c r="E2376" s="18">
        <v>3.58</v>
      </c>
      <c r="F2376" s="18">
        <v>4.3</v>
      </c>
      <c r="G2376" s="20" t="s">
        <v>2719</v>
      </c>
      <c r="H2376" s="19" t="str">
        <f>HYPERLINK("https://elefant.by/catalogue/174910641","Посмотреть на сайте ...")</f>
        <v>Посмотреть на сайте ...</v>
      </c>
    </row>
    <row r="2377" spans="1:8" s="16" customFormat="1" x14ac:dyDescent="0.25">
      <c r="A2377" s="17">
        <v>2367</v>
      </c>
      <c r="B2377" s="17" t="s">
        <v>9</v>
      </c>
      <c r="C2377" s="17" t="s">
        <v>2720</v>
      </c>
      <c r="D2377" s="18">
        <v>20</v>
      </c>
      <c r="E2377" s="18">
        <v>3.58</v>
      </c>
      <c r="F2377" s="18">
        <v>4.3</v>
      </c>
      <c r="G2377" s="20" t="s">
        <v>2721</v>
      </c>
      <c r="H2377" s="19" t="str">
        <f>HYPERLINK("https://elefant.by/catalogue/175740342","Посмотреть на сайте ...")</f>
        <v>Посмотреть на сайте ...</v>
      </c>
    </row>
    <row r="2378" spans="1:8" s="16" customFormat="1" x14ac:dyDescent="0.25">
      <c r="A2378" s="17">
        <v>2368</v>
      </c>
      <c r="B2378" s="17" t="s">
        <v>9</v>
      </c>
      <c r="C2378" s="17" t="s">
        <v>2722</v>
      </c>
      <c r="D2378" s="18">
        <v>20</v>
      </c>
      <c r="E2378" s="18">
        <v>3.58</v>
      </c>
      <c r="F2378" s="18">
        <v>4.3</v>
      </c>
      <c r="G2378" s="20" t="s">
        <v>2723</v>
      </c>
      <c r="H2378" s="19" t="str">
        <f>HYPERLINK("https://elefant.by/catalogue/178369939","Посмотреть на сайте ...")</f>
        <v>Посмотреть на сайте ...</v>
      </c>
    </row>
    <row r="2379" spans="1:8" s="16" customFormat="1" x14ac:dyDescent="0.25">
      <c r="A2379" s="17">
        <v>2369</v>
      </c>
      <c r="B2379" s="17" t="s">
        <v>20</v>
      </c>
      <c r="C2379" s="17" t="s">
        <v>3966</v>
      </c>
      <c r="D2379" s="18">
        <v>20</v>
      </c>
      <c r="E2379" s="18">
        <v>3.18</v>
      </c>
      <c r="F2379" s="18">
        <v>3.82</v>
      </c>
      <c r="G2379" s="20" t="s">
        <v>5011</v>
      </c>
      <c r="H2379" s="19" t="str">
        <f>HYPERLINK("https://elefant.by/catalogue/671790109","Посмотреть на сайте ...")</f>
        <v>Посмотреть на сайте ...</v>
      </c>
    </row>
    <row r="2380" spans="1:8" s="16" customFormat="1" x14ac:dyDescent="0.25">
      <c r="A2380" s="17">
        <v>2370</v>
      </c>
      <c r="B2380" s="17" t="s">
        <v>20</v>
      </c>
      <c r="C2380" s="17" t="s">
        <v>3967</v>
      </c>
      <c r="D2380" s="18">
        <v>20</v>
      </c>
      <c r="E2380" s="18">
        <v>3.18</v>
      </c>
      <c r="F2380" s="18">
        <v>3.82</v>
      </c>
      <c r="G2380" s="20" t="s">
        <v>5012</v>
      </c>
      <c r="H2380" s="19" t="str">
        <f>HYPERLINK("https://elefant.by/catalogue/671790110","Посмотреть на сайте ...")</f>
        <v>Посмотреть на сайте ...</v>
      </c>
    </row>
    <row r="2381" spans="1:8" s="16" customFormat="1" x14ac:dyDescent="0.25">
      <c r="A2381" s="17">
        <v>2371</v>
      </c>
      <c r="B2381" s="17" t="s">
        <v>20</v>
      </c>
      <c r="C2381" s="17" t="s">
        <v>3968</v>
      </c>
      <c r="D2381" s="18">
        <v>20</v>
      </c>
      <c r="E2381" s="18">
        <v>3.18</v>
      </c>
      <c r="F2381" s="18">
        <v>3.82</v>
      </c>
      <c r="G2381" s="20" t="s">
        <v>5013</v>
      </c>
      <c r="H2381" s="19" t="str">
        <f>HYPERLINK("https://elefant.by/catalogue/671790111","Посмотреть на сайте ...")</f>
        <v>Посмотреть на сайте ...</v>
      </c>
    </row>
    <row r="2382" spans="1:8" s="16" customFormat="1" x14ac:dyDescent="0.25">
      <c r="A2382" s="17">
        <v>2372</v>
      </c>
      <c r="B2382" s="17" t="s">
        <v>20</v>
      </c>
      <c r="C2382" s="17" t="s">
        <v>3969</v>
      </c>
      <c r="D2382" s="18">
        <v>20</v>
      </c>
      <c r="E2382" s="18">
        <v>3.18</v>
      </c>
      <c r="F2382" s="18">
        <v>3.82</v>
      </c>
      <c r="G2382" s="20" t="s">
        <v>5014</v>
      </c>
      <c r="H2382" s="19" t="str">
        <f>HYPERLINK("https://elefant.by/catalogue/671790112","Посмотреть на сайте ...")</f>
        <v>Посмотреть на сайте ...</v>
      </c>
    </row>
    <row r="2383" spans="1:8" s="16" customFormat="1" x14ac:dyDescent="0.25">
      <c r="A2383" s="17">
        <v>2373</v>
      </c>
      <c r="B2383" s="17" t="s">
        <v>63</v>
      </c>
      <c r="C2383" s="17" t="s">
        <v>2738</v>
      </c>
      <c r="D2383" s="18">
        <v>20</v>
      </c>
      <c r="E2383" s="18">
        <v>2.41</v>
      </c>
      <c r="F2383" s="18">
        <v>2.89</v>
      </c>
      <c r="G2383" s="20" t="s">
        <v>2739</v>
      </c>
      <c r="H2383" s="19" t="str">
        <f>HYPERLINK("https://elefant.by/catalogue/577952778","Посмотреть на сайте ...")</f>
        <v>Посмотреть на сайте ...</v>
      </c>
    </row>
    <row r="2384" spans="1:8" s="16" customFormat="1" x14ac:dyDescent="0.25">
      <c r="A2384" s="17">
        <v>2374</v>
      </c>
      <c r="B2384" s="17" t="s">
        <v>63</v>
      </c>
      <c r="C2384" s="17" t="s">
        <v>3970</v>
      </c>
      <c r="D2384" s="18">
        <v>20</v>
      </c>
      <c r="E2384" s="18">
        <v>2.41</v>
      </c>
      <c r="F2384" s="18">
        <v>2.89</v>
      </c>
      <c r="G2384" s="20" t="s">
        <v>5015</v>
      </c>
      <c r="H2384" s="19" t="str">
        <f>HYPERLINK("https://elefant.by/catalogue/576484902","Посмотреть на сайте ...")</f>
        <v>Посмотреть на сайте ...</v>
      </c>
    </row>
    <row r="2385" spans="1:8" s="16" customFormat="1" x14ac:dyDescent="0.25">
      <c r="A2385" s="17">
        <v>2375</v>
      </c>
      <c r="B2385" s="17" t="s">
        <v>63</v>
      </c>
      <c r="C2385" s="17" t="s">
        <v>2740</v>
      </c>
      <c r="D2385" s="18">
        <v>20</v>
      </c>
      <c r="E2385" s="18">
        <v>2.41</v>
      </c>
      <c r="F2385" s="18">
        <v>2.89</v>
      </c>
      <c r="G2385" s="20" t="s">
        <v>2741</v>
      </c>
      <c r="H2385" s="19" t="str">
        <f>HYPERLINK("https://elefant.by/catalogue/576484901","Посмотреть на сайте ...")</f>
        <v>Посмотреть на сайте ...</v>
      </c>
    </row>
    <row r="2386" spans="1:8" s="16" customFormat="1" x14ac:dyDescent="0.25">
      <c r="A2386" s="17">
        <v>2376</v>
      </c>
      <c r="B2386" s="17" t="s">
        <v>63</v>
      </c>
      <c r="C2386" s="17" t="s">
        <v>3971</v>
      </c>
      <c r="D2386" s="18">
        <v>20</v>
      </c>
      <c r="E2386" s="18">
        <v>2.41</v>
      </c>
      <c r="F2386" s="18">
        <v>2.89</v>
      </c>
      <c r="G2386" s="20" t="s">
        <v>5016</v>
      </c>
      <c r="H2386" s="19" t="str">
        <f>HYPERLINK("https://elefant.by/catalogue/567441330","Посмотреть на сайте ...")</f>
        <v>Посмотреть на сайте ...</v>
      </c>
    </row>
    <row r="2387" spans="1:8" s="16" customFormat="1" x14ac:dyDescent="0.25">
      <c r="A2387" s="17">
        <v>2377</v>
      </c>
      <c r="B2387" s="17" t="s">
        <v>63</v>
      </c>
      <c r="C2387" s="17" t="s">
        <v>3972</v>
      </c>
      <c r="D2387" s="18">
        <v>20</v>
      </c>
      <c r="E2387" s="18">
        <v>2.31</v>
      </c>
      <c r="F2387" s="18">
        <v>2.77</v>
      </c>
      <c r="G2387" s="20" t="s">
        <v>5017</v>
      </c>
      <c r="H2387" s="19" t="str">
        <f>HYPERLINK("https://elefant.by/catalogue/667079644","Посмотреть на сайте ...")</f>
        <v>Посмотреть на сайте ...</v>
      </c>
    </row>
    <row r="2388" spans="1:8" s="16" customFormat="1" x14ac:dyDescent="0.25">
      <c r="A2388" s="17">
        <v>2378</v>
      </c>
      <c r="B2388" s="17" t="s">
        <v>63</v>
      </c>
      <c r="C2388" s="17" t="s">
        <v>2724</v>
      </c>
      <c r="D2388" s="18">
        <v>20</v>
      </c>
      <c r="E2388" s="18">
        <v>2.99</v>
      </c>
      <c r="F2388" s="18">
        <v>3.59</v>
      </c>
      <c r="G2388" s="20" t="s">
        <v>2725</v>
      </c>
      <c r="H2388" s="19" t="str">
        <f>HYPERLINK("https://elefant.by/catalogue/617968490","Посмотреть на сайте ...")</f>
        <v>Посмотреть на сайте ...</v>
      </c>
    </row>
    <row r="2389" spans="1:8" s="16" customFormat="1" x14ac:dyDescent="0.25">
      <c r="A2389" s="17">
        <v>2379</v>
      </c>
      <c r="B2389" s="17" t="s">
        <v>63</v>
      </c>
      <c r="C2389" s="17" t="s">
        <v>2726</v>
      </c>
      <c r="D2389" s="18">
        <v>20</v>
      </c>
      <c r="E2389" s="18">
        <v>2.99</v>
      </c>
      <c r="F2389" s="18">
        <v>3.59</v>
      </c>
      <c r="G2389" s="20" t="s">
        <v>2727</v>
      </c>
      <c r="H2389" s="19" t="str">
        <f>HYPERLINK("https://elefant.by/catalogue/617968489","Посмотреть на сайте ...")</f>
        <v>Посмотреть на сайте ...</v>
      </c>
    </row>
    <row r="2390" spans="1:8" s="16" customFormat="1" x14ac:dyDescent="0.25">
      <c r="A2390" s="17">
        <v>2380</v>
      </c>
      <c r="B2390" s="17" t="s">
        <v>63</v>
      </c>
      <c r="C2390" s="17" t="s">
        <v>2728</v>
      </c>
      <c r="D2390" s="18">
        <v>20</v>
      </c>
      <c r="E2390" s="18">
        <v>2.99</v>
      </c>
      <c r="F2390" s="18">
        <v>3.59</v>
      </c>
      <c r="G2390" s="20" t="s">
        <v>2729</v>
      </c>
      <c r="H2390" s="19" t="str">
        <f>HYPERLINK("https://elefant.by/catalogue/578021682","Посмотреть на сайте ...")</f>
        <v>Посмотреть на сайте ...</v>
      </c>
    </row>
    <row r="2391" spans="1:8" s="16" customFormat="1" x14ac:dyDescent="0.25">
      <c r="A2391" s="17">
        <v>2381</v>
      </c>
      <c r="B2391" s="17" t="s">
        <v>63</v>
      </c>
      <c r="C2391" s="17" t="s">
        <v>2730</v>
      </c>
      <c r="D2391" s="18">
        <v>20</v>
      </c>
      <c r="E2391" s="18">
        <v>2.99</v>
      </c>
      <c r="F2391" s="18">
        <v>3.59</v>
      </c>
      <c r="G2391" s="20" t="s">
        <v>2731</v>
      </c>
      <c r="H2391" s="19" t="str">
        <f>HYPERLINK("https://elefant.by/catalogue/610010067","Посмотреть на сайте ...")</f>
        <v>Посмотреть на сайте ...</v>
      </c>
    </row>
    <row r="2392" spans="1:8" s="16" customFormat="1" x14ac:dyDescent="0.25">
      <c r="A2392" s="17">
        <v>2382</v>
      </c>
      <c r="B2392" s="17" t="s">
        <v>63</v>
      </c>
      <c r="C2392" s="17" t="s">
        <v>2732</v>
      </c>
      <c r="D2392" s="18">
        <v>20</v>
      </c>
      <c r="E2392" s="18">
        <v>2.99</v>
      </c>
      <c r="F2392" s="18">
        <v>3.59</v>
      </c>
      <c r="G2392" s="20" t="s">
        <v>2733</v>
      </c>
      <c r="H2392" s="19" t="str">
        <f>HYPERLINK("https://elefant.by/catalogue/578021681","Посмотреть на сайте ...")</f>
        <v>Посмотреть на сайте ...</v>
      </c>
    </row>
    <row r="2393" spans="1:8" s="16" customFormat="1" x14ac:dyDescent="0.25">
      <c r="A2393" s="17">
        <v>2383</v>
      </c>
      <c r="B2393" s="17" t="s">
        <v>63</v>
      </c>
      <c r="C2393" s="17" t="s">
        <v>2734</v>
      </c>
      <c r="D2393" s="18">
        <v>20</v>
      </c>
      <c r="E2393" s="18">
        <v>2.99</v>
      </c>
      <c r="F2393" s="18">
        <v>3.59</v>
      </c>
      <c r="G2393" s="20" t="s">
        <v>2735</v>
      </c>
      <c r="H2393" s="19" t="str">
        <f>HYPERLINK("https://elefant.by/catalogue/610010068","Посмотреть на сайте ...")</f>
        <v>Посмотреть на сайте ...</v>
      </c>
    </row>
    <row r="2394" spans="1:8" s="16" customFormat="1" x14ac:dyDescent="0.25">
      <c r="A2394" s="17">
        <v>2384</v>
      </c>
      <c r="B2394" s="17" t="s">
        <v>63</v>
      </c>
      <c r="C2394" s="17" t="s">
        <v>2736</v>
      </c>
      <c r="D2394" s="18">
        <v>20</v>
      </c>
      <c r="E2394" s="18">
        <v>2.99</v>
      </c>
      <c r="F2394" s="18">
        <v>3.59</v>
      </c>
      <c r="G2394" s="20" t="s">
        <v>2737</v>
      </c>
      <c r="H2394" s="19" t="str">
        <f>HYPERLINK("https://elefant.by/catalogue/595720315","Посмотреть на сайте ...")</f>
        <v>Посмотреть на сайте ...</v>
      </c>
    </row>
    <row r="2395" spans="1:8" s="16" customFormat="1" x14ac:dyDescent="0.25">
      <c r="A2395" s="17">
        <v>2385</v>
      </c>
      <c r="B2395" s="17" t="s">
        <v>63</v>
      </c>
      <c r="C2395" s="17" t="s">
        <v>3973</v>
      </c>
      <c r="D2395" s="18">
        <v>16</v>
      </c>
      <c r="E2395" s="18">
        <v>3.07</v>
      </c>
      <c r="F2395" s="18">
        <v>3.68</v>
      </c>
      <c r="G2395" s="20" t="s">
        <v>5018</v>
      </c>
      <c r="H2395" s="19" t="str">
        <f>HYPERLINK("https://elefant.by/catalogue/685545878","Посмотреть на сайте ...")</f>
        <v>Посмотреть на сайте ...</v>
      </c>
    </row>
    <row r="2396" spans="1:8" s="16" customFormat="1" x14ac:dyDescent="0.25">
      <c r="A2396" s="17">
        <v>2386</v>
      </c>
      <c r="B2396" s="17" t="s">
        <v>63</v>
      </c>
      <c r="C2396" s="17" t="s">
        <v>3974</v>
      </c>
      <c r="D2396" s="18">
        <v>16</v>
      </c>
      <c r="E2396" s="18">
        <v>3.07</v>
      </c>
      <c r="F2396" s="18">
        <v>3.68</v>
      </c>
      <c r="G2396" s="20" t="s">
        <v>5019</v>
      </c>
      <c r="H2396" s="19" t="str">
        <f>HYPERLINK("https://elefant.by/catalogue/678765318","Посмотреть на сайте ...")</f>
        <v>Посмотреть на сайте ...</v>
      </c>
    </row>
    <row r="2397" spans="1:8" s="16" customFormat="1" x14ac:dyDescent="0.25">
      <c r="A2397" s="17">
        <v>2387</v>
      </c>
      <c r="B2397" s="17" t="s">
        <v>9</v>
      </c>
      <c r="C2397" s="17" t="s">
        <v>2742</v>
      </c>
      <c r="D2397" s="18">
        <v>20</v>
      </c>
      <c r="E2397" s="18">
        <v>2.76</v>
      </c>
      <c r="F2397" s="18">
        <v>3.31</v>
      </c>
      <c r="G2397" s="20" t="s">
        <v>2743</v>
      </c>
      <c r="H2397" s="19" t="str">
        <f>HYPERLINK("https://elefant.by/catalogue/217637995","Посмотреть на сайте ...")</f>
        <v>Посмотреть на сайте ...</v>
      </c>
    </row>
    <row r="2398" spans="1:8" s="16" customFormat="1" x14ac:dyDescent="0.25">
      <c r="A2398" s="17">
        <v>2388</v>
      </c>
      <c r="B2398" s="17" t="s">
        <v>13</v>
      </c>
      <c r="C2398" s="17" t="s">
        <v>3975</v>
      </c>
      <c r="D2398" s="18">
        <v>12</v>
      </c>
      <c r="E2398" s="18">
        <v>1.26</v>
      </c>
      <c r="F2398" s="18">
        <v>1.51</v>
      </c>
      <c r="G2398" s="20" t="s">
        <v>5020</v>
      </c>
      <c r="H2398" s="19" t="str">
        <f>HYPERLINK("https://elefant.by/catalogue/703795082","Посмотреть на сайте ...")</f>
        <v>Посмотреть на сайте ...</v>
      </c>
    </row>
    <row r="2399" spans="1:8" s="16" customFormat="1" x14ac:dyDescent="0.25">
      <c r="A2399" s="17">
        <v>2389</v>
      </c>
      <c r="B2399" s="17" t="s">
        <v>13</v>
      </c>
      <c r="C2399" s="17" t="s">
        <v>3976</v>
      </c>
      <c r="D2399" s="18">
        <v>12</v>
      </c>
      <c r="E2399" s="18">
        <v>1.26</v>
      </c>
      <c r="F2399" s="18">
        <v>1.51</v>
      </c>
      <c r="G2399" s="20" t="s">
        <v>5021</v>
      </c>
      <c r="H2399" s="19" t="str">
        <f>HYPERLINK("https://elefant.by/catalogue/693004826","Посмотреть на сайте ...")</f>
        <v>Посмотреть на сайте ...</v>
      </c>
    </row>
    <row r="2400" spans="1:8" s="16" customFormat="1" x14ac:dyDescent="0.25">
      <c r="A2400" s="17">
        <v>2390</v>
      </c>
      <c r="B2400" s="17" t="s">
        <v>13</v>
      </c>
      <c r="C2400" s="17" t="s">
        <v>3977</v>
      </c>
      <c r="D2400" s="18">
        <v>12</v>
      </c>
      <c r="E2400" s="18">
        <v>1.26</v>
      </c>
      <c r="F2400" s="18">
        <v>1.51</v>
      </c>
      <c r="G2400" s="20" t="s">
        <v>5022</v>
      </c>
      <c r="H2400" s="19" t="str">
        <f>HYPERLINK("https://elefant.by/catalogue/701795454","Посмотреть на сайте ...")</f>
        <v>Посмотреть на сайте ...</v>
      </c>
    </row>
    <row r="2401" spans="1:8" s="16" customFormat="1" x14ac:dyDescent="0.25">
      <c r="A2401" s="17">
        <v>2391</v>
      </c>
      <c r="B2401" s="17" t="s">
        <v>13</v>
      </c>
      <c r="C2401" s="17" t="s">
        <v>3978</v>
      </c>
      <c r="D2401" s="18">
        <v>12</v>
      </c>
      <c r="E2401" s="18">
        <v>1.26</v>
      </c>
      <c r="F2401" s="18">
        <v>1.51</v>
      </c>
      <c r="G2401" s="20" t="s">
        <v>5023</v>
      </c>
      <c r="H2401" s="19" t="str">
        <f>HYPERLINK("https://elefant.by/catalogue/693004820","Посмотреть на сайте ...")</f>
        <v>Посмотреть на сайте ...</v>
      </c>
    </row>
    <row r="2402" spans="1:8" s="16" customFormat="1" x14ac:dyDescent="0.25">
      <c r="A2402" s="17">
        <v>2392</v>
      </c>
      <c r="B2402" s="17" t="s">
        <v>13</v>
      </c>
      <c r="C2402" s="17" t="s">
        <v>3979</v>
      </c>
      <c r="D2402" s="18">
        <v>12</v>
      </c>
      <c r="E2402" s="18">
        <v>1.26</v>
      </c>
      <c r="F2402" s="18">
        <v>1.51</v>
      </c>
      <c r="G2402" s="20" t="s">
        <v>5024</v>
      </c>
      <c r="H2402" s="19" t="str">
        <f>HYPERLINK("https://elefant.by/catalogue/697250074","Посмотреть на сайте ...")</f>
        <v>Посмотреть на сайте ...</v>
      </c>
    </row>
    <row r="2403" spans="1:8" s="16" customFormat="1" x14ac:dyDescent="0.25">
      <c r="A2403" s="17">
        <v>2393</v>
      </c>
      <c r="B2403" s="17" t="s">
        <v>13</v>
      </c>
      <c r="C2403" s="17" t="s">
        <v>3980</v>
      </c>
      <c r="D2403" s="18">
        <v>12</v>
      </c>
      <c r="E2403" s="18">
        <v>1.26</v>
      </c>
      <c r="F2403" s="18">
        <v>1.51</v>
      </c>
      <c r="G2403" s="20" t="s">
        <v>5025</v>
      </c>
      <c r="H2403" s="19" t="str">
        <f>HYPERLINK("https://elefant.by/catalogue/697250075","Посмотреть на сайте ...")</f>
        <v>Посмотреть на сайте ...</v>
      </c>
    </row>
    <row r="2404" spans="1:8" s="16" customFormat="1" x14ac:dyDescent="0.25">
      <c r="A2404" s="17">
        <v>2394</v>
      </c>
      <c r="B2404" s="17" t="s">
        <v>13</v>
      </c>
      <c r="C2404" s="17" t="s">
        <v>3981</v>
      </c>
      <c r="D2404" s="18">
        <v>12</v>
      </c>
      <c r="E2404" s="18">
        <v>4.2699999999999996</v>
      </c>
      <c r="F2404" s="18">
        <v>5.12</v>
      </c>
      <c r="G2404" s="20" t="s">
        <v>5026</v>
      </c>
      <c r="H2404" s="19" t="str">
        <f>HYPERLINK("https://elefant.by/catalogue/701795456","Посмотреть на сайте ...")</f>
        <v>Посмотреть на сайте ...</v>
      </c>
    </row>
    <row r="2405" spans="1:8" s="16" customFormat="1" x14ac:dyDescent="0.25">
      <c r="A2405" s="17">
        <v>2395</v>
      </c>
      <c r="B2405" s="17" t="s">
        <v>13</v>
      </c>
      <c r="C2405" s="17" t="s">
        <v>3982</v>
      </c>
      <c r="D2405" s="18">
        <v>12</v>
      </c>
      <c r="E2405" s="18">
        <v>4.2699999999999996</v>
      </c>
      <c r="F2405" s="18">
        <v>5.12</v>
      </c>
      <c r="G2405" s="20" t="s">
        <v>5027</v>
      </c>
      <c r="H2405" s="19" t="str">
        <f>HYPERLINK("https://elefant.by/catalogue/701795457","Посмотреть на сайте ...")</f>
        <v>Посмотреть на сайте ...</v>
      </c>
    </row>
    <row r="2406" spans="1:8" s="16" customFormat="1" x14ac:dyDescent="0.25">
      <c r="A2406" s="17">
        <v>2396</v>
      </c>
      <c r="B2406" s="17" t="s">
        <v>13</v>
      </c>
      <c r="C2406" s="17" t="s">
        <v>3983</v>
      </c>
      <c r="D2406" s="18">
        <v>12</v>
      </c>
      <c r="E2406" s="18">
        <v>4.2699999999999996</v>
      </c>
      <c r="F2406" s="18">
        <v>5.12</v>
      </c>
      <c r="G2406" s="20" t="s">
        <v>5028</v>
      </c>
      <c r="H2406" s="19" t="str">
        <f>HYPERLINK("https://elefant.by/catalogue/701795458","Посмотреть на сайте ...")</f>
        <v>Посмотреть на сайте ...</v>
      </c>
    </row>
    <row r="2407" spans="1:8" s="16" customFormat="1" x14ac:dyDescent="0.25">
      <c r="A2407" s="17">
        <v>2397</v>
      </c>
      <c r="B2407" s="17" t="s">
        <v>13</v>
      </c>
      <c r="C2407" s="17" t="s">
        <v>3984</v>
      </c>
      <c r="D2407" s="18">
        <v>12</v>
      </c>
      <c r="E2407" s="18">
        <v>4.2699999999999996</v>
      </c>
      <c r="F2407" s="18">
        <v>5.12</v>
      </c>
      <c r="G2407" s="20" t="s">
        <v>5029</v>
      </c>
      <c r="H2407" s="19" t="str">
        <f>HYPERLINK("https://elefant.by/catalogue/702308389","Посмотреть на сайте ...")</f>
        <v>Посмотреть на сайте ...</v>
      </c>
    </row>
    <row r="2408" spans="1:8" s="16" customFormat="1" x14ac:dyDescent="0.25">
      <c r="A2408" s="17">
        <v>2398</v>
      </c>
      <c r="B2408" s="17" t="s">
        <v>13</v>
      </c>
      <c r="C2408" s="17" t="s">
        <v>3985</v>
      </c>
      <c r="D2408" s="18">
        <v>12</v>
      </c>
      <c r="E2408" s="18">
        <v>8.26</v>
      </c>
      <c r="F2408" s="18">
        <v>9.91</v>
      </c>
      <c r="G2408" s="20" t="s">
        <v>5030</v>
      </c>
      <c r="H2408" s="19" t="str">
        <f>HYPERLINK("https://elefant.by/catalogue/693004815","Посмотреть на сайте ...")</f>
        <v>Посмотреть на сайте ...</v>
      </c>
    </row>
    <row r="2409" spans="1:8" s="16" customFormat="1" x14ac:dyDescent="0.25">
      <c r="A2409" s="17">
        <v>2399</v>
      </c>
      <c r="B2409" s="17" t="s">
        <v>13</v>
      </c>
      <c r="C2409" s="17" t="s">
        <v>3986</v>
      </c>
      <c r="D2409" s="18">
        <v>12</v>
      </c>
      <c r="E2409" s="18">
        <v>8.26</v>
      </c>
      <c r="F2409" s="18">
        <v>9.91</v>
      </c>
      <c r="G2409" s="20" t="s">
        <v>5031</v>
      </c>
      <c r="H2409" s="19" t="str">
        <f>HYPERLINK("https://elefant.by/catalogue/693004813","Посмотреть на сайте ...")</f>
        <v>Посмотреть на сайте ...</v>
      </c>
    </row>
    <row r="2410" spans="1:8" s="16" customFormat="1" x14ac:dyDescent="0.25">
      <c r="A2410" s="17">
        <v>2400</v>
      </c>
      <c r="B2410" s="17" t="s">
        <v>13</v>
      </c>
      <c r="C2410" s="17" t="s">
        <v>3987</v>
      </c>
      <c r="D2410" s="18">
        <v>12</v>
      </c>
      <c r="E2410" s="18">
        <v>8.26</v>
      </c>
      <c r="F2410" s="18">
        <v>9.91</v>
      </c>
      <c r="G2410" s="20" t="s">
        <v>5032</v>
      </c>
      <c r="H2410" s="19" t="str">
        <f>HYPERLINK("https://elefant.by/catalogue/693004814","Посмотреть на сайте ...")</f>
        <v>Посмотреть на сайте ...</v>
      </c>
    </row>
    <row r="2411" spans="1:8" s="16" customFormat="1" x14ac:dyDescent="0.25">
      <c r="A2411" s="17">
        <v>2401</v>
      </c>
      <c r="B2411" s="17" t="s">
        <v>13</v>
      </c>
      <c r="C2411" s="17" t="s">
        <v>3988</v>
      </c>
      <c r="D2411" s="18">
        <v>12</v>
      </c>
      <c r="E2411" s="18">
        <v>8.26</v>
      </c>
      <c r="F2411" s="18">
        <v>9.91</v>
      </c>
      <c r="G2411" s="20" t="s">
        <v>5033</v>
      </c>
      <c r="H2411" s="19" t="str">
        <f>HYPERLINK("https://elefant.by/catalogue/693004816","Посмотреть на сайте ...")</f>
        <v>Посмотреть на сайте ...</v>
      </c>
    </row>
    <row r="2412" spans="1:8" s="16" customFormat="1" x14ac:dyDescent="0.25">
      <c r="A2412" s="17">
        <v>2402</v>
      </c>
      <c r="B2412" s="17" t="s">
        <v>13</v>
      </c>
      <c r="C2412" s="17" t="s">
        <v>3989</v>
      </c>
      <c r="D2412" s="18">
        <v>12</v>
      </c>
      <c r="E2412" s="18">
        <v>8.26</v>
      </c>
      <c r="F2412" s="18">
        <v>9.91</v>
      </c>
      <c r="G2412" s="20" t="s">
        <v>5034</v>
      </c>
      <c r="H2412" s="19" t="str">
        <f>HYPERLINK("https://elefant.by/catalogue/693004817","Посмотреть на сайте ...")</f>
        <v>Посмотреть на сайте ...</v>
      </c>
    </row>
    <row r="2413" spans="1:8" s="16" customFormat="1" x14ac:dyDescent="0.25">
      <c r="A2413" s="17">
        <v>2403</v>
      </c>
      <c r="B2413" s="17" t="s">
        <v>13</v>
      </c>
      <c r="C2413" s="17" t="s">
        <v>3990</v>
      </c>
      <c r="D2413" s="18">
        <v>12</v>
      </c>
      <c r="E2413" s="18">
        <v>10.34</v>
      </c>
      <c r="F2413" s="18">
        <v>12.41</v>
      </c>
      <c r="G2413" s="20" t="s">
        <v>5035</v>
      </c>
      <c r="H2413" s="19" t="str">
        <f>HYPERLINK("https://elefant.by/catalogue/702308390","Посмотреть на сайте ...")</f>
        <v>Посмотреть на сайте ...</v>
      </c>
    </row>
    <row r="2414" spans="1:8" s="16" customFormat="1" x14ac:dyDescent="0.25">
      <c r="A2414" s="17">
        <v>2404</v>
      </c>
      <c r="B2414" s="17" t="s">
        <v>13</v>
      </c>
      <c r="C2414" s="17" t="s">
        <v>3991</v>
      </c>
      <c r="D2414" s="18">
        <v>12</v>
      </c>
      <c r="E2414" s="18">
        <v>10.34</v>
      </c>
      <c r="F2414" s="18">
        <v>12.41</v>
      </c>
      <c r="G2414" s="20" t="s">
        <v>5036</v>
      </c>
      <c r="H2414" s="19" t="str">
        <f>HYPERLINK("https://elefant.by/catalogue/693004818","Посмотреть на сайте ...")</f>
        <v>Посмотреть на сайте ...</v>
      </c>
    </row>
    <row r="2415" spans="1:8" s="16" customFormat="1" x14ac:dyDescent="0.25">
      <c r="A2415" s="17">
        <v>2405</v>
      </c>
      <c r="B2415" s="17" t="s">
        <v>13</v>
      </c>
      <c r="C2415" s="17" t="s">
        <v>3992</v>
      </c>
      <c r="D2415" s="18">
        <v>12</v>
      </c>
      <c r="E2415" s="18">
        <v>10.34</v>
      </c>
      <c r="F2415" s="18">
        <v>12.41</v>
      </c>
      <c r="G2415" s="20" t="s">
        <v>5037</v>
      </c>
      <c r="H2415" s="19" t="str">
        <f>HYPERLINK("https://elefant.by/catalogue/693004819","Посмотреть на сайте ...")</f>
        <v>Посмотреть на сайте ...</v>
      </c>
    </row>
    <row r="2416" spans="1:8" s="16" customFormat="1" x14ac:dyDescent="0.25">
      <c r="A2416" s="17">
        <v>2406</v>
      </c>
      <c r="B2416" s="17" t="s">
        <v>13</v>
      </c>
      <c r="C2416" s="17" t="s">
        <v>3993</v>
      </c>
      <c r="D2416" s="18">
        <v>12</v>
      </c>
      <c r="E2416" s="18">
        <v>7.29</v>
      </c>
      <c r="F2416" s="18">
        <v>8.75</v>
      </c>
      <c r="G2416" s="20" t="s">
        <v>5038</v>
      </c>
      <c r="H2416" s="19" t="str">
        <f>HYPERLINK("https://elefant.by/catalogue/703795080","Посмотреть на сайте ...")</f>
        <v>Посмотреть на сайте ...</v>
      </c>
    </row>
    <row r="2417" spans="1:8" s="16" customFormat="1" x14ac:dyDescent="0.25">
      <c r="A2417" s="17">
        <v>2407</v>
      </c>
      <c r="B2417" s="17" t="s">
        <v>13</v>
      </c>
      <c r="C2417" s="17" t="s">
        <v>3994</v>
      </c>
      <c r="D2417" s="18">
        <v>12</v>
      </c>
      <c r="E2417" s="18">
        <v>7.29</v>
      </c>
      <c r="F2417" s="18">
        <v>8.75</v>
      </c>
      <c r="G2417" s="20" t="s">
        <v>5039</v>
      </c>
      <c r="H2417" s="19" t="str">
        <f>HYPERLINK("https://elefant.by/catalogue/703795081","Посмотреть на сайте ...")</f>
        <v>Посмотреть на сайте ...</v>
      </c>
    </row>
    <row r="2418" spans="1:8" s="16" customFormat="1" x14ac:dyDescent="0.25">
      <c r="A2418" s="17">
        <v>2408</v>
      </c>
      <c r="B2418" s="17" t="s">
        <v>13</v>
      </c>
      <c r="C2418" s="17" t="s">
        <v>3995</v>
      </c>
      <c r="D2418" s="18">
        <v>12</v>
      </c>
      <c r="E2418" s="18">
        <v>10.35</v>
      </c>
      <c r="F2418" s="18">
        <v>12.42</v>
      </c>
      <c r="G2418" s="20" t="s">
        <v>5040</v>
      </c>
      <c r="H2418" s="19" t="str">
        <f>HYPERLINK("https://elefant.by/catalogue/693004828","Посмотреть на сайте ...")</f>
        <v>Посмотреть на сайте ...</v>
      </c>
    </row>
    <row r="2419" spans="1:8" s="16" customFormat="1" x14ac:dyDescent="0.25">
      <c r="A2419" s="17">
        <v>2409</v>
      </c>
      <c r="B2419" s="17" t="s">
        <v>13</v>
      </c>
      <c r="C2419" s="17" t="s">
        <v>3996</v>
      </c>
      <c r="D2419" s="18">
        <v>12</v>
      </c>
      <c r="E2419" s="18">
        <v>10.35</v>
      </c>
      <c r="F2419" s="18">
        <v>12.42</v>
      </c>
      <c r="G2419" s="20" t="s">
        <v>5041</v>
      </c>
      <c r="H2419" s="19" t="str">
        <f>HYPERLINK("https://elefant.by/catalogue/693004827","Посмотреть на сайте ...")</f>
        <v>Посмотреть на сайте ...</v>
      </c>
    </row>
    <row r="2420" spans="1:8" s="16" customFormat="1" x14ac:dyDescent="0.25">
      <c r="A2420" s="17">
        <v>2410</v>
      </c>
      <c r="B2420" s="17" t="s">
        <v>13</v>
      </c>
      <c r="C2420" s="17" t="s">
        <v>3997</v>
      </c>
      <c r="D2420" s="18">
        <v>12</v>
      </c>
      <c r="E2420" s="18">
        <v>10.35</v>
      </c>
      <c r="F2420" s="18">
        <v>12.42</v>
      </c>
      <c r="G2420" s="20" t="s">
        <v>5042</v>
      </c>
      <c r="H2420" s="19" t="str">
        <f>HYPERLINK("https://elefant.by/catalogue/693004865","Посмотреть на сайте ...")</f>
        <v>Посмотреть на сайте ...</v>
      </c>
    </row>
    <row r="2421" spans="1:8" s="16" customFormat="1" x14ac:dyDescent="0.25">
      <c r="A2421" s="17">
        <v>2411</v>
      </c>
      <c r="B2421" s="17" t="s">
        <v>157</v>
      </c>
      <c r="C2421" s="17" t="s">
        <v>2744</v>
      </c>
      <c r="D2421" s="18">
        <v>10</v>
      </c>
      <c r="E2421" s="18">
        <v>9.57</v>
      </c>
      <c r="F2421" s="18">
        <v>11.48</v>
      </c>
      <c r="G2421" s="20" t="s">
        <v>2745</v>
      </c>
      <c r="H2421" s="19" t="str">
        <f>HYPERLINK("https://elefant.by/catalogue/188724880","Посмотреть на сайте ...")</f>
        <v>Посмотреть на сайте ...</v>
      </c>
    </row>
    <row r="2422" spans="1:8" s="16" customFormat="1" x14ac:dyDescent="0.25">
      <c r="A2422" s="17">
        <v>2412</v>
      </c>
      <c r="B2422" s="17" t="s">
        <v>157</v>
      </c>
      <c r="C2422" s="17" t="s">
        <v>2746</v>
      </c>
      <c r="D2422" s="18">
        <v>18</v>
      </c>
      <c r="E2422" s="18">
        <v>18.170000000000002</v>
      </c>
      <c r="F2422" s="18">
        <v>21.8</v>
      </c>
      <c r="G2422" s="20" t="s">
        <v>2747</v>
      </c>
      <c r="H2422" s="19" t="str">
        <f>HYPERLINK("https://elefant.by/catalogue/189561292","Посмотреть на сайте ...")</f>
        <v>Посмотреть на сайте ...</v>
      </c>
    </row>
    <row r="2423" spans="1:8" s="16" customFormat="1" x14ac:dyDescent="0.25">
      <c r="A2423" s="17">
        <v>2413</v>
      </c>
      <c r="B2423" s="17" t="s">
        <v>157</v>
      </c>
      <c r="C2423" s="17" t="s">
        <v>2748</v>
      </c>
      <c r="D2423" s="18">
        <v>10</v>
      </c>
      <c r="E2423" s="18">
        <v>5.3</v>
      </c>
      <c r="F2423" s="18">
        <v>6.36</v>
      </c>
      <c r="G2423" s="20" t="s">
        <v>2749</v>
      </c>
      <c r="H2423" s="19" t="str">
        <f>HYPERLINK("https://elefant.by/catalogue/196759517","Посмотреть на сайте ...")</f>
        <v>Посмотреть на сайте ...</v>
      </c>
    </row>
    <row r="2424" spans="1:8" s="16" customFormat="1" x14ac:dyDescent="0.25">
      <c r="A2424" s="17">
        <v>2414</v>
      </c>
      <c r="B2424" s="17" t="s">
        <v>157</v>
      </c>
      <c r="C2424" s="17" t="s">
        <v>2750</v>
      </c>
      <c r="D2424" s="18">
        <v>15</v>
      </c>
      <c r="E2424" s="18">
        <v>13.11</v>
      </c>
      <c r="F2424" s="18">
        <v>15.73</v>
      </c>
      <c r="G2424" s="20" t="s">
        <v>2751</v>
      </c>
      <c r="H2424" s="19" t="str">
        <f>HYPERLINK("https://elefant.by/catalogue/341564671","Посмотреть на сайте ...")</f>
        <v>Посмотреть на сайте ...</v>
      </c>
    </row>
    <row r="2425" spans="1:8" s="16" customFormat="1" x14ac:dyDescent="0.25">
      <c r="A2425" s="17">
        <v>2415</v>
      </c>
      <c r="B2425" s="17" t="s">
        <v>157</v>
      </c>
      <c r="C2425" s="17" t="s">
        <v>2752</v>
      </c>
      <c r="D2425" s="18">
        <v>10</v>
      </c>
      <c r="E2425" s="18">
        <v>6.13</v>
      </c>
      <c r="F2425" s="18">
        <v>7.36</v>
      </c>
      <c r="G2425" s="20" t="s">
        <v>2753</v>
      </c>
      <c r="H2425" s="19" t="str">
        <f>HYPERLINK("https://elefant.by/catalogue/177381108","Посмотреть на сайте ...")</f>
        <v>Посмотреть на сайте ...</v>
      </c>
    </row>
    <row r="2426" spans="1:8" s="16" customFormat="1" x14ac:dyDescent="0.25">
      <c r="A2426" s="17">
        <v>2416</v>
      </c>
      <c r="B2426" s="17" t="s">
        <v>157</v>
      </c>
      <c r="C2426" s="17" t="s">
        <v>2754</v>
      </c>
      <c r="D2426" s="18">
        <v>10</v>
      </c>
      <c r="E2426" s="18">
        <v>3.98</v>
      </c>
      <c r="F2426" s="18">
        <v>4.78</v>
      </c>
      <c r="G2426" s="20" t="s">
        <v>2755</v>
      </c>
      <c r="H2426" s="19" t="str">
        <f>HYPERLINK("https://elefant.by/catalogue/176822175","Посмотреть на сайте ...")</f>
        <v>Посмотреть на сайте ...</v>
      </c>
    </row>
    <row r="2427" spans="1:8" s="16" customFormat="1" x14ac:dyDescent="0.25">
      <c r="A2427" s="17">
        <v>2417</v>
      </c>
      <c r="B2427" s="17" t="s">
        <v>3998</v>
      </c>
      <c r="C2427" s="17" t="s">
        <v>3999</v>
      </c>
      <c r="D2427" s="18">
        <v>50</v>
      </c>
      <c r="E2427" s="18">
        <v>1.36</v>
      </c>
      <c r="F2427" s="18">
        <v>1.63</v>
      </c>
      <c r="G2427" s="20" t="s">
        <v>5043</v>
      </c>
      <c r="H2427" s="19" t="str">
        <f>HYPERLINK("https://elefant.by/catalogue/687737224","Посмотреть на сайте ...")</f>
        <v>Посмотреть на сайте ...</v>
      </c>
    </row>
    <row r="2428" spans="1:8" s="16" customFormat="1" x14ac:dyDescent="0.25">
      <c r="A2428" s="17">
        <v>2418</v>
      </c>
      <c r="B2428" s="17" t="s">
        <v>3998</v>
      </c>
      <c r="C2428" s="17" t="s">
        <v>4000</v>
      </c>
      <c r="D2428" s="18">
        <v>50</v>
      </c>
      <c r="E2428" s="18">
        <v>1.36</v>
      </c>
      <c r="F2428" s="18">
        <v>1.63</v>
      </c>
      <c r="G2428" s="20" t="s">
        <v>5044</v>
      </c>
      <c r="H2428" s="19" t="str">
        <f>HYPERLINK("https://elefant.by/catalogue/692039258","Посмотреть на сайте ...")</f>
        <v>Посмотреть на сайте ...</v>
      </c>
    </row>
    <row r="2429" spans="1:8" s="16" customFormat="1" x14ac:dyDescent="0.25">
      <c r="A2429" s="17">
        <v>2419</v>
      </c>
      <c r="B2429" s="17" t="s">
        <v>3998</v>
      </c>
      <c r="C2429" s="17" t="s">
        <v>4001</v>
      </c>
      <c r="D2429" s="18">
        <v>50</v>
      </c>
      <c r="E2429" s="18">
        <v>1.36</v>
      </c>
      <c r="F2429" s="18">
        <v>1.63</v>
      </c>
      <c r="G2429" s="20" t="s">
        <v>5045</v>
      </c>
      <c r="H2429" s="19" t="str">
        <f>HYPERLINK("https://elefant.by/catalogue/687737225","Посмотреть на сайте ...")</f>
        <v>Посмотреть на сайте ...</v>
      </c>
    </row>
    <row r="2430" spans="1:8" s="16" customFormat="1" x14ac:dyDescent="0.25">
      <c r="A2430" s="17">
        <v>2420</v>
      </c>
      <c r="B2430" s="17" t="s">
        <v>3998</v>
      </c>
      <c r="C2430" s="17" t="s">
        <v>4002</v>
      </c>
      <c r="D2430" s="18">
        <v>50</v>
      </c>
      <c r="E2430" s="18">
        <v>1.36</v>
      </c>
      <c r="F2430" s="18">
        <v>1.63</v>
      </c>
      <c r="G2430" s="20" t="s">
        <v>5046</v>
      </c>
      <c r="H2430" s="19" t="str">
        <f>HYPERLINK("https://elefant.by/catalogue/695009743","Посмотреть на сайте ...")</f>
        <v>Посмотреть на сайте ...</v>
      </c>
    </row>
    <row r="2431" spans="1:8" s="16" customFormat="1" x14ac:dyDescent="0.25">
      <c r="A2431" s="17">
        <v>2421</v>
      </c>
      <c r="B2431" s="17" t="s">
        <v>3998</v>
      </c>
      <c r="C2431" s="17" t="s">
        <v>4003</v>
      </c>
      <c r="D2431" s="18">
        <v>25</v>
      </c>
      <c r="E2431" s="18">
        <v>1.62</v>
      </c>
      <c r="F2431" s="18">
        <v>1.94</v>
      </c>
      <c r="G2431" s="20" t="s">
        <v>5047</v>
      </c>
      <c r="H2431" s="19" t="str">
        <f>HYPERLINK("https://elefant.by/catalogue/655141589","Посмотреть на сайте ...")</f>
        <v>Посмотреть на сайте ...</v>
      </c>
    </row>
    <row r="2432" spans="1:8" s="16" customFormat="1" x14ac:dyDescent="0.25">
      <c r="A2432" s="17">
        <v>2422</v>
      </c>
      <c r="B2432" s="17" t="s">
        <v>3998</v>
      </c>
      <c r="C2432" s="17" t="s">
        <v>4004</v>
      </c>
      <c r="D2432" s="18">
        <v>25</v>
      </c>
      <c r="E2432" s="18">
        <v>1.59</v>
      </c>
      <c r="F2432" s="18">
        <v>1.91</v>
      </c>
      <c r="G2432" s="20" t="s">
        <v>5048</v>
      </c>
      <c r="H2432" s="19" t="str">
        <f>HYPERLINK("https://elefant.by/catalogue/655141586","Посмотреть на сайте ...")</f>
        <v>Посмотреть на сайте ...</v>
      </c>
    </row>
    <row r="2433" spans="1:8" s="16" customFormat="1" x14ac:dyDescent="0.25">
      <c r="A2433" s="17">
        <v>2423</v>
      </c>
      <c r="B2433" s="17" t="s">
        <v>3998</v>
      </c>
      <c r="C2433" s="17" t="s">
        <v>4005</v>
      </c>
      <c r="D2433" s="18">
        <v>25</v>
      </c>
      <c r="E2433" s="18">
        <v>1.59</v>
      </c>
      <c r="F2433" s="18">
        <v>1.91</v>
      </c>
      <c r="G2433" s="20" t="s">
        <v>5049</v>
      </c>
      <c r="H2433" s="19" t="str">
        <f>HYPERLINK("https://elefant.by/catalogue/655141587","Посмотреть на сайте ...")</f>
        <v>Посмотреть на сайте ...</v>
      </c>
    </row>
    <row r="2434" spans="1:8" s="16" customFormat="1" x14ac:dyDescent="0.25">
      <c r="A2434" s="17">
        <v>2424</v>
      </c>
      <c r="B2434" s="17" t="s">
        <v>3998</v>
      </c>
      <c r="C2434" s="17" t="s">
        <v>4006</v>
      </c>
      <c r="D2434" s="18">
        <v>25</v>
      </c>
      <c r="E2434" s="18">
        <v>1.62</v>
      </c>
      <c r="F2434" s="18">
        <v>1.94</v>
      </c>
      <c r="G2434" s="20" t="s">
        <v>5050</v>
      </c>
      <c r="H2434" s="19" t="str">
        <f>HYPERLINK("https://elefant.by/catalogue/655141588","Посмотреть на сайте ...")</f>
        <v>Посмотреть на сайте ...</v>
      </c>
    </row>
    <row r="2435" spans="1:8" s="16" customFormat="1" x14ac:dyDescent="0.25">
      <c r="A2435" s="17">
        <v>2425</v>
      </c>
      <c r="B2435" s="17" t="s">
        <v>3998</v>
      </c>
      <c r="C2435" s="17" t="s">
        <v>4007</v>
      </c>
      <c r="D2435" s="18">
        <v>25</v>
      </c>
      <c r="E2435" s="18">
        <v>1.62</v>
      </c>
      <c r="F2435" s="18">
        <v>1.94</v>
      </c>
      <c r="G2435" s="20" t="s">
        <v>5051</v>
      </c>
      <c r="H2435" s="19" t="str">
        <f>HYPERLINK("https://elefant.by/catalogue/655141603","Посмотреть на сайте ...")</f>
        <v>Посмотреть на сайте ...</v>
      </c>
    </row>
    <row r="2436" spans="1:8" s="16" customFormat="1" x14ac:dyDescent="0.25">
      <c r="A2436" s="17">
        <v>2426</v>
      </c>
      <c r="B2436" s="17" t="s">
        <v>3998</v>
      </c>
      <c r="C2436" s="17" t="s">
        <v>4008</v>
      </c>
      <c r="D2436" s="18">
        <v>26</v>
      </c>
      <c r="E2436" s="18">
        <v>2.1800000000000002</v>
      </c>
      <c r="F2436" s="18">
        <v>2.62</v>
      </c>
      <c r="G2436" s="20" t="s">
        <v>5052</v>
      </c>
      <c r="H2436" s="19" t="str">
        <f>HYPERLINK("https://elefant.by/catalogue/661439843","Посмотреть на сайте ...")</f>
        <v>Посмотреть на сайте ...</v>
      </c>
    </row>
    <row r="2437" spans="1:8" s="16" customFormat="1" x14ac:dyDescent="0.25">
      <c r="A2437" s="17">
        <v>2427</v>
      </c>
      <c r="B2437" s="17" t="s">
        <v>3998</v>
      </c>
      <c r="C2437" s="17" t="s">
        <v>4009</v>
      </c>
      <c r="D2437" s="18">
        <v>26</v>
      </c>
      <c r="E2437" s="18">
        <v>2.1800000000000002</v>
      </c>
      <c r="F2437" s="18">
        <v>2.62</v>
      </c>
      <c r="G2437" s="20" t="s">
        <v>5053</v>
      </c>
      <c r="H2437" s="19" t="str">
        <f>HYPERLINK("https://elefant.by/catalogue/661439844","Посмотреть на сайте ...")</f>
        <v>Посмотреть на сайте ...</v>
      </c>
    </row>
    <row r="2438" spans="1:8" s="16" customFormat="1" x14ac:dyDescent="0.25">
      <c r="A2438" s="17">
        <v>2428</v>
      </c>
      <c r="B2438" s="17" t="s">
        <v>3998</v>
      </c>
      <c r="C2438" s="17" t="s">
        <v>4010</v>
      </c>
      <c r="D2438" s="18">
        <v>26</v>
      </c>
      <c r="E2438" s="18">
        <v>2.15</v>
      </c>
      <c r="F2438" s="18">
        <v>2.58</v>
      </c>
      <c r="G2438" s="20" t="s">
        <v>5054</v>
      </c>
      <c r="H2438" s="19" t="str">
        <f>HYPERLINK("https://elefant.by/catalogue/661439842","Посмотреть на сайте ...")</f>
        <v>Посмотреть на сайте ...</v>
      </c>
    </row>
    <row r="2439" spans="1:8" s="16" customFormat="1" x14ac:dyDescent="0.25">
      <c r="A2439" s="17">
        <v>2429</v>
      </c>
      <c r="B2439" s="17" t="s">
        <v>3998</v>
      </c>
      <c r="C2439" s="17" t="s">
        <v>4011</v>
      </c>
      <c r="D2439" s="18">
        <v>25</v>
      </c>
      <c r="E2439" s="18">
        <v>2.54</v>
      </c>
      <c r="F2439" s="18">
        <v>3.05</v>
      </c>
      <c r="G2439" s="20" t="s">
        <v>5055</v>
      </c>
      <c r="H2439" s="19" t="str">
        <f>HYPERLINK("https://elefant.by/catalogue/655141590","Посмотреть на сайте ...")</f>
        <v>Посмотреть на сайте ...</v>
      </c>
    </row>
    <row r="2440" spans="1:8" s="16" customFormat="1" x14ac:dyDescent="0.25">
      <c r="A2440" s="17">
        <v>2430</v>
      </c>
      <c r="B2440" s="17" t="s">
        <v>3998</v>
      </c>
      <c r="C2440" s="17" t="s">
        <v>4012</v>
      </c>
      <c r="D2440" s="18">
        <v>25</v>
      </c>
      <c r="E2440" s="18">
        <v>2.54</v>
      </c>
      <c r="F2440" s="18">
        <v>3.05</v>
      </c>
      <c r="G2440" s="20" t="s">
        <v>5056</v>
      </c>
      <c r="H2440" s="19" t="str">
        <f>HYPERLINK("https://elefant.by/catalogue/655141591","Посмотреть на сайте ...")</f>
        <v>Посмотреть на сайте ...</v>
      </c>
    </row>
    <row r="2441" spans="1:8" s="16" customFormat="1" x14ac:dyDescent="0.25">
      <c r="A2441" s="17">
        <v>2431</v>
      </c>
      <c r="B2441" s="17" t="s">
        <v>3998</v>
      </c>
      <c r="C2441" s="17" t="s">
        <v>4013</v>
      </c>
      <c r="D2441" s="18">
        <v>26</v>
      </c>
      <c r="E2441" s="18">
        <v>2.1800000000000002</v>
      </c>
      <c r="F2441" s="18">
        <v>2.62</v>
      </c>
      <c r="G2441" s="20" t="s">
        <v>5054</v>
      </c>
      <c r="H2441" s="19" t="str">
        <f>HYPERLINK("https://elefant.by/catalogue/661422377","Посмотреть на сайте ...")</f>
        <v>Посмотреть на сайте ...</v>
      </c>
    </row>
    <row r="2442" spans="1:8" s="16" customFormat="1" x14ac:dyDescent="0.25">
      <c r="A2442" s="17">
        <v>2432</v>
      </c>
      <c r="B2442" s="17" t="s">
        <v>3998</v>
      </c>
      <c r="C2442" s="17" t="s">
        <v>4014</v>
      </c>
      <c r="D2442" s="18">
        <v>25</v>
      </c>
      <c r="E2442" s="18">
        <v>2.54</v>
      </c>
      <c r="F2442" s="18">
        <v>3.05</v>
      </c>
      <c r="G2442" s="20" t="s">
        <v>5057</v>
      </c>
      <c r="H2442" s="19" t="str">
        <f>HYPERLINK("https://elefant.by/catalogue/655141592","Посмотреть на сайте ...")</f>
        <v>Посмотреть на сайте ...</v>
      </c>
    </row>
    <row r="2443" spans="1:8" s="16" customFormat="1" x14ac:dyDescent="0.25">
      <c r="A2443" s="17">
        <v>2433</v>
      </c>
      <c r="B2443" s="17" t="s">
        <v>3998</v>
      </c>
      <c r="C2443" s="17" t="s">
        <v>4015</v>
      </c>
      <c r="D2443" s="18">
        <v>25</v>
      </c>
      <c r="E2443" s="18">
        <v>2.54</v>
      </c>
      <c r="F2443" s="18">
        <v>3.05</v>
      </c>
      <c r="G2443" s="20" t="s">
        <v>5058</v>
      </c>
      <c r="H2443" s="19" t="str">
        <f>HYPERLINK("https://elefant.by/catalogue/655141593","Посмотреть на сайте ...")</f>
        <v>Посмотреть на сайте ...</v>
      </c>
    </row>
    <row r="2444" spans="1:8" s="16" customFormat="1" x14ac:dyDescent="0.25">
      <c r="A2444" s="17">
        <v>2434</v>
      </c>
      <c r="B2444" s="17" t="s">
        <v>3998</v>
      </c>
      <c r="C2444" s="17" t="s">
        <v>4016</v>
      </c>
      <c r="D2444" s="18">
        <v>25</v>
      </c>
      <c r="E2444" s="18">
        <v>2.54</v>
      </c>
      <c r="F2444" s="18">
        <v>3.05</v>
      </c>
      <c r="G2444" s="20" t="s">
        <v>5059</v>
      </c>
      <c r="H2444" s="19" t="str">
        <f>HYPERLINK("https://elefant.by/catalogue/655141595","Посмотреть на сайте ...")</f>
        <v>Посмотреть на сайте ...</v>
      </c>
    </row>
    <row r="2445" spans="1:8" s="16" customFormat="1" x14ac:dyDescent="0.25">
      <c r="A2445" s="17">
        <v>2435</v>
      </c>
      <c r="B2445" s="17" t="s">
        <v>3998</v>
      </c>
      <c r="C2445" s="17" t="s">
        <v>4017</v>
      </c>
      <c r="D2445" s="18">
        <v>25</v>
      </c>
      <c r="E2445" s="18">
        <v>2.54</v>
      </c>
      <c r="F2445" s="18">
        <v>3.05</v>
      </c>
      <c r="G2445" s="20" t="s">
        <v>5060</v>
      </c>
      <c r="H2445" s="19" t="str">
        <f>HYPERLINK("https://elefant.by/catalogue/655141596","Посмотреть на сайте ...")</f>
        <v>Посмотреть на сайте ...</v>
      </c>
    </row>
    <row r="2446" spans="1:8" s="16" customFormat="1" x14ac:dyDescent="0.25">
      <c r="A2446" s="17">
        <v>2436</v>
      </c>
      <c r="B2446" s="17" t="s">
        <v>3998</v>
      </c>
      <c r="C2446" s="17" t="s">
        <v>4018</v>
      </c>
      <c r="D2446" s="18">
        <v>25</v>
      </c>
      <c r="E2446" s="18">
        <v>2.54</v>
      </c>
      <c r="F2446" s="18">
        <v>3.05</v>
      </c>
      <c r="G2446" s="20" t="s">
        <v>5061</v>
      </c>
      <c r="H2446" s="19" t="str">
        <f>HYPERLINK("https://elefant.by/catalogue/655141597","Посмотреть на сайте ...")</f>
        <v>Посмотреть на сайте ...</v>
      </c>
    </row>
    <row r="2447" spans="1:8" s="16" customFormat="1" x14ac:dyDescent="0.25">
      <c r="A2447" s="17">
        <v>2437</v>
      </c>
      <c r="B2447" s="17" t="s">
        <v>3998</v>
      </c>
      <c r="C2447" s="17" t="s">
        <v>4019</v>
      </c>
      <c r="D2447" s="18">
        <v>22</v>
      </c>
      <c r="E2447" s="18">
        <v>3.57</v>
      </c>
      <c r="F2447" s="18">
        <v>4.28</v>
      </c>
      <c r="G2447" s="20" t="s">
        <v>5062</v>
      </c>
      <c r="H2447" s="19" t="str">
        <f>HYPERLINK("https://elefant.by/catalogue/655141598","Посмотреть на сайте ...")</f>
        <v>Посмотреть на сайте ...</v>
      </c>
    </row>
    <row r="2448" spans="1:8" s="16" customFormat="1" x14ac:dyDescent="0.25">
      <c r="A2448" s="17">
        <v>2438</v>
      </c>
      <c r="B2448" s="17" t="s">
        <v>3998</v>
      </c>
      <c r="C2448" s="17" t="s">
        <v>4020</v>
      </c>
      <c r="D2448" s="18">
        <v>22</v>
      </c>
      <c r="E2448" s="18">
        <v>3.57</v>
      </c>
      <c r="F2448" s="18">
        <v>4.28</v>
      </c>
      <c r="G2448" s="20" t="s">
        <v>5063</v>
      </c>
      <c r="H2448" s="19" t="str">
        <f>HYPERLINK("https://elefant.by/catalogue/655141600","Посмотреть на сайте ...")</f>
        <v>Посмотреть на сайте ...</v>
      </c>
    </row>
    <row r="2449" spans="1:8" s="16" customFormat="1" x14ac:dyDescent="0.25">
      <c r="A2449" s="17">
        <v>2439</v>
      </c>
      <c r="B2449" s="17" t="s">
        <v>3998</v>
      </c>
      <c r="C2449" s="17" t="s">
        <v>4021</v>
      </c>
      <c r="D2449" s="18">
        <v>22</v>
      </c>
      <c r="E2449" s="18">
        <v>3.53</v>
      </c>
      <c r="F2449" s="18">
        <v>4.24</v>
      </c>
      <c r="G2449" s="20" t="s">
        <v>5064</v>
      </c>
      <c r="H2449" s="19" t="str">
        <f>HYPERLINK("https://elefant.by/catalogue/655141599","Посмотреть на сайте ...")</f>
        <v>Посмотреть на сайте ...</v>
      </c>
    </row>
    <row r="2450" spans="1:8" s="16" customFormat="1" x14ac:dyDescent="0.25">
      <c r="A2450" s="17">
        <v>2440</v>
      </c>
      <c r="B2450" s="17" t="s">
        <v>3998</v>
      </c>
      <c r="C2450" s="17" t="s">
        <v>4022</v>
      </c>
      <c r="D2450" s="18">
        <v>22</v>
      </c>
      <c r="E2450" s="18">
        <v>3.57</v>
      </c>
      <c r="F2450" s="18">
        <v>4.28</v>
      </c>
      <c r="G2450" s="20" t="s">
        <v>5065</v>
      </c>
      <c r="H2450" s="19" t="str">
        <f>HYPERLINK("https://elefant.by/catalogue/655141601","Посмотреть на сайте ...")</f>
        <v>Посмотреть на сайте ...</v>
      </c>
    </row>
    <row r="2451" spans="1:8" s="16" customFormat="1" x14ac:dyDescent="0.25">
      <c r="A2451" s="17">
        <v>2441</v>
      </c>
      <c r="B2451" s="17" t="s">
        <v>3998</v>
      </c>
      <c r="C2451" s="17" t="s">
        <v>4023</v>
      </c>
      <c r="D2451" s="18">
        <v>22</v>
      </c>
      <c r="E2451" s="18">
        <v>3.53</v>
      </c>
      <c r="F2451" s="18">
        <v>4.24</v>
      </c>
      <c r="G2451" s="20" t="s">
        <v>5066</v>
      </c>
      <c r="H2451" s="19" t="str">
        <f>HYPERLINK("https://elefant.by/catalogue/655141602","Посмотреть на сайте ...")</f>
        <v>Посмотреть на сайте ...</v>
      </c>
    </row>
    <row r="2452" spans="1:8" s="16" customFormat="1" x14ac:dyDescent="0.25">
      <c r="A2452" s="17">
        <v>2442</v>
      </c>
      <c r="B2452" s="17" t="s">
        <v>20</v>
      </c>
      <c r="C2452" s="17" t="s">
        <v>2756</v>
      </c>
      <c r="D2452" s="18">
        <v>10</v>
      </c>
      <c r="E2452" s="18">
        <v>1.1399999999999999</v>
      </c>
      <c r="F2452" s="18">
        <v>1.37</v>
      </c>
      <c r="G2452" s="20" t="s">
        <v>2757</v>
      </c>
      <c r="H2452" s="19" t="str">
        <f>HYPERLINK("https://elefant.by/catalogue/389506387","Посмотреть на сайте ...")</f>
        <v>Посмотреть на сайте ...</v>
      </c>
    </row>
    <row r="2453" spans="1:8" s="16" customFormat="1" x14ac:dyDescent="0.25">
      <c r="A2453" s="17">
        <v>2443</v>
      </c>
      <c r="B2453" s="17" t="s">
        <v>20</v>
      </c>
      <c r="C2453" s="17" t="s">
        <v>2758</v>
      </c>
      <c r="D2453" s="18">
        <v>10</v>
      </c>
      <c r="E2453" s="18">
        <v>1.1399999999999999</v>
      </c>
      <c r="F2453" s="18">
        <v>1.37</v>
      </c>
      <c r="G2453" s="20" t="s">
        <v>2759</v>
      </c>
      <c r="H2453" s="19" t="str">
        <f>HYPERLINK("https://elefant.by/catalogue/389506388","Посмотреть на сайте ...")</f>
        <v>Посмотреть на сайте ...</v>
      </c>
    </row>
    <row r="2454" spans="1:8" s="16" customFormat="1" x14ac:dyDescent="0.25">
      <c r="A2454" s="17">
        <v>2444</v>
      </c>
      <c r="B2454" s="17" t="s">
        <v>20</v>
      </c>
      <c r="C2454" s="17" t="s">
        <v>2760</v>
      </c>
      <c r="D2454" s="18">
        <v>10</v>
      </c>
      <c r="E2454" s="18">
        <v>1.1399999999999999</v>
      </c>
      <c r="F2454" s="18">
        <v>1.37</v>
      </c>
      <c r="G2454" s="20" t="s">
        <v>2761</v>
      </c>
      <c r="H2454" s="19" t="str">
        <f>HYPERLINK("https://elefant.by/catalogue/410273319","Посмотреть на сайте ...")</f>
        <v>Посмотреть на сайте ...</v>
      </c>
    </row>
    <row r="2455" spans="1:8" s="16" customFormat="1" x14ac:dyDescent="0.25">
      <c r="A2455" s="17">
        <v>2445</v>
      </c>
      <c r="B2455" s="17" t="s">
        <v>20</v>
      </c>
      <c r="C2455" s="17" t="s">
        <v>2762</v>
      </c>
      <c r="D2455" s="18">
        <v>10</v>
      </c>
      <c r="E2455" s="18">
        <v>1.23</v>
      </c>
      <c r="F2455" s="18">
        <v>1.48</v>
      </c>
      <c r="G2455" s="20" t="s">
        <v>2763</v>
      </c>
      <c r="H2455" s="19" t="str">
        <f>HYPERLINK("https://elefant.by/catalogue/438783979","Посмотреть на сайте ...")</f>
        <v>Посмотреть на сайте ...</v>
      </c>
    </row>
    <row r="2456" spans="1:8" s="16" customFormat="1" x14ac:dyDescent="0.25">
      <c r="A2456" s="17">
        <v>2446</v>
      </c>
      <c r="B2456" s="17" t="s">
        <v>20</v>
      </c>
      <c r="C2456" s="17" t="s">
        <v>2764</v>
      </c>
      <c r="D2456" s="18">
        <v>10</v>
      </c>
      <c r="E2456" s="18">
        <v>1.62</v>
      </c>
      <c r="F2456" s="18">
        <v>1.94</v>
      </c>
      <c r="G2456" s="20" t="s">
        <v>2765</v>
      </c>
      <c r="H2456" s="19" t="str">
        <f>HYPERLINK("https://elefant.by/catalogue/389506389","Посмотреть на сайте ...")</f>
        <v>Посмотреть на сайте ...</v>
      </c>
    </row>
    <row r="2457" spans="1:8" s="16" customFormat="1" x14ac:dyDescent="0.25">
      <c r="A2457" s="17">
        <v>2447</v>
      </c>
      <c r="B2457" s="17" t="s">
        <v>20</v>
      </c>
      <c r="C2457" s="17" t="s">
        <v>2766</v>
      </c>
      <c r="D2457" s="18">
        <v>10</v>
      </c>
      <c r="E2457" s="18">
        <v>1.62</v>
      </c>
      <c r="F2457" s="18">
        <v>1.94</v>
      </c>
      <c r="G2457" s="20" t="s">
        <v>2767</v>
      </c>
      <c r="H2457" s="19" t="str">
        <f>HYPERLINK("https://elefant.by/catalogue/377324561","Посмотреть на сайте ...")</f>
        <v>Посмотреть на сайте ...</v>
      </c>
    </row>
    <row r="2458" spans="1:8" s="16" customFormat="1" x14ac:dyDescent="0.25">
      <c r="A2458" s="17">
        <v>2448</v>
      </c>
      <c r="B2458" s="17" t="s">
        <v>20</v>
      </c>
      <c r="C2458" s="17" t="s">
        <v>2768</v>
      </c>
      <c r="D2458" s="18">
        <v>10</v>
      </c>
      <c r="E2458" s="18">
        <v>1.62</v>
      </c>
      <c r="F2458" s="18">
        <v>1.94</v>
      </c>
      <c r="G2458" s="20" t="s">
        <v>2769</v>
      </c>
      <c r="H2458" s="19" t="str">
        <f>HYPERLINK("https://elefant.by/catalogue/410273320","Посмотреть на сайте ...")</f>
        <v>Посмотреть на сайте ...</v>
      </c>
    </row>
    <row r="2459" spans="1:8" s="16" customFormat="1" x14ac:dyDescent="0.25">
      <c r="A2459" s="17">
        <v>2449</v>
      </c>
      <c r="B2459" s="17" t="s">
        <v>20</v>
      </c>
      <c r="C2459" s="17" t="s">
        <v>2770</v>
      </c>
      <c r="D2459" s="18">
        <v>25</v>
      </c>
      <c r="E2459" s="18">
        <v>1.79</v>
      </c>
      <c r="F2459" s="18">
        <v>2.15</v>
      </c>
      <c r="G2459" s="20" t="s">
        <v>2771</v>
      </c>
      <c r="H2459" s="19" t="str">
        <f>HYPERLINK("https://elefant.by/catalogue/435679457","Посмотреть на сайте ...")</f>
        <v>Посмотреть на сайте ...</v>
      </c>
    </row>
    <row r="2460" spans="1:8" s="16" customFormat="1" x14ac:dyDescent="0.25">
      <c r="A2460" s="17">
        <v>2450</v>
      </c>
      <c r="B2460" s="17" t="s">
        <v>20</v>
      </c>
      <c r="C2460" s="17" t="s">
        <v>2772</v>
      </c>
      <c r="D2460" s="18">
        <v>25</v>
      </c>
      <c r="E2460" s="18">
        <v>2.3199999999999998</v>
      </c>
      <c r="F2460" s="18">
        <v>2.78</v>
      </c>
      <c r="G2460" s="20" t="s">
        <v>2773</v>
      </c>
      <c r="H2460" s="19" t="str">
        <f>HYPERLINK("https://elefant.by/catalogue/472615809","Посмотреть на сайте ...")</f>
        <v>Посмотреть на сайте ...</v>
      </c>
    </row>
    <row r="2461" spans="1:8" s="16" customFormat="1" x14ac:dyDescent="0.25">
      <c r="A2461" s="17">
        <v>2451</v>
      </c>
      <c r="B2461" s="17" t="s">
        <v>20</v>
      </c>
      <c r="C2461" s="17" t="s">
        <v>2774</v>
      </c>
      <c r="D2461" s="18">
        <v>25</v>
      </c>
      <c r="E2461" s="18">
        <v>2.12</v>
      </c>
      <c r="F2461" s="18">
        <v>2.54</v>
      </c>
      <c r="G2461" s="20" t="s">
        <v>2775</v>
      </c>
      <c r="H2461" s="19" t="str">
        <f>HYPERLINK("https://elefant.by/catalogue/377324562","Посмотреть на сайте ...")</f>
        <v>Посмотреть на сайте ...</v>
      </c>
    </row>
    <row r="2462" spans="1:8" s="16" customFormat="1" x14ac:dyDescent="0.25">
      <c r="A2462" s="17">
        <v>2452</v>
      </c>
      <c r="B2462" s="17" t="s">
        <v>20</v>
      </c>
      <c r="C2462" s="17" t="s">
        <v>2776</v>
      </c>
      <c r="D2462" s="18">
        <v>25</v>
      </c>
      <c r="E2462" s="18">
        <v>2.09</v>
      </c>
      <c r="F2462" s="18">
        <v>2.5099999999999998</v>
      </c>
      <c r="G2462" s="20" t="s">
        <v>2777</v>
      </c>
      <c r="H2462" s="19" t="str">
        <f>HYPERLINK("https://elefant.by/catalogue/513782447","Посмотреть на сайте ...")</f>
        <v>Посмотреть на сайте ...</v>
      </c>
    </row>
    <row r="2463" spans="1:8" s="16" customFormat="1" x14ac:dyDescent="0.25">
      <c r="A2463" s="17">
        <v>2453</v>
      </c>
      <c r="B2463" s="17" t="s">
        <v>20</v>
      </c>
      <c r="C2463" s="17" t="s">
        <v>2778</v>
      </c>
      <c r="D2463" s="18">
        <v>25</v>
      </c>
      <c r="E2463" s="18">
        <v>2.12</v>
      </c>
      <c r="F2463" s="18">
        <v>2.54</v>
      </c>
      <c r="G2463" s="20" t="s">
        <v>2779</v>
      </c>
      <c r="H2463" s="19" t="str">
        <f>HYPERLINK("https://elefant.by/catalogue/377324563","Посмотреть на сайте ...")</f>
        <v>Посмотреть на сайте ...</v>
      </c>
    </row>
    <row r="2464" spans="1:8" s="16" customFormat="1" x14ac:dyDescent="0.25">
      <c r="A2464" s="17">
        <v>2454</v>
      </c>
      <c r="B2464" s="17" t="s">
        <v>20</v>
      </c>
      <c r="C2464" s="17" t="s">
        <v>2780</v>
      </c>
      <c r="D2464" s="18">
        <v>25</v>
      </c>
      <c r="E2464" s="18">
        <v>2.06</v>
      </c>
      <c r="F2464" s="18">
        <v>2.4700000000000002</v>
      </c>
      <c r="G2464" s="20" t="s">
        <v>2781</v>
      </c>
      <c r="H2464" s="19" t="str">
        <f>HYPERLINK("https://elefant.by/catalogue/516982858","Посмотреть на сайте ...")</f>
        <v>Посмотреть на сайте ...</v>
      </c>
    </row>
    <row r="2465" spans="1:8" s="16" customFormat="1" x14ac:dyDescent="0.25">
      <c r="A2465" s="17">
        <v>2455</v>
      </c>
      <c r="B2465" s="17" t="s">
        <v>20</v>
      </c>
      <c r="C2465" s="17" t="s">
        <v>2782</v>
      </c>
      <c r="D2465" s="18">
        <v>25</v>
      </c>
      <c r="E2465" s="18">
        <v>2.12</v>
      </c>
      <c r="F2465" s="18">
        <v>2.54</v>
      </c>
      <c r="G2465" s="20" t="s">
        <v>2783</v>
      </c>
      <c r="H2465" s="19" t="str">
        <f>HYPERLINK("https://elefant.by/catalogue/377324583","Посмотреть на сайте ...")</f>
        <v>Посмотреть на сайте ...</v>
      </c>
    </row>
    <row r="2466" spans="1:8" s="16" customFormat="1" x14ac:dyDescent="0.25">
      <c r="A2466" s="17">
        <v>2456</v>
      </c>
      <c r="B2466" s="17" t="s">
        <v>20</v>
      </c>
      <c r="C2466" s="17" t="s">
        <v>2784</v>
      </c>
      <c r="D2466" s="18">
        <v>25</v>
      </c>
      <c r="E2466" s="18">
        <v>2.09</v>
      </c>
      <c r="F2466" s="18">
        <v>2.5099999999999998</v>
      </c>
      <c r="G2466" s="20" t="s">
        <v>2785</v>
      </c>
      <c r="H2466" s="19" t="str">
        <f>HYPERLINK("https://elefant.by/catalogue/520884826","Посмотреть на сайте ...")</f>
        <v>Посмотреть на сайте ...</v>
      </c>
    </row>
    <row r="2467" spans="1:8" s="16" customFormat="1" x14ac:dyDescent="0.25">
      <c r="A2467" s="17">
        <v>2457</v>
      </c>
      <c r="B2467" s="17" t="s">
        <v>20</v>
      </c>
      <c r="C2467" s="17" t="s">
        <v>2786</v>
      </c>
      <c r="D2467" s="18">
        <v>25</v>
      </c>
      <c r="E2467" s="18">
        <v>2.6</v>
      </c>
      <c r="F2467" s="18">
        <v>3.12</v>
      </c>
      <c r="G2467" s="20" t="s">
        <v>2787</v>
      </c>
      <c r="H2467" s="19" t="str">
        <f>HYPERLINK("https://elefant.by/catalogue/436266903","Посмотреть на сайте ...")</f>
        <v>Посмотреть на сайте ...</v>
      </c>
    </row>
    <row r="2468" spans="1:8" s="16" customFormat="1" x14ac:dyDescent="0.25">
      <c r="A2468" s="17">
        <v>2458</v>
      </c>
      <c r="B2468" s="17" t="s">
        <v>20</v>
      </c>
      <c r="C2468" s="17" t="s">
        <v>2788</v>
      </c>
      <c r="D2468" s="18">
        <v>25</v>
      </c>
      <c r="E2468" s="18">
        <v>3.6</v>
      </c>
      <c r="F2468" s="18">
        <v>4.32</v>
      </c>
      <c r="G2468" s="20" t="s">
        <v>2789</v>
      </c>
      <c r="H2468" s="19" t="str">
        <f>HYPERLINK("https://elefant.by/catalogue/564880155","Посмотреть на сайте ...")</f>
        <v>Посмотреть на сайте ...</v>
      </c>
    </row>
    <row r="2469" spans="1:8" s="16" customFormat="1" x14ac:dyDescent="0.25">
      <c r="A2469" s="17">
        <v>2459</v>
      </c>
      <c r="B2469" s="17" t="s">
        <v>20</v>
      </c>
      <c r="C2469" s="17" t="s">
        <v>2790</v>
      </c>
      <c r="D2469" s="18">
        <v>15</v>
      </c>
      <c r="E2469" s="18">
        <v>4.25</v>
      </c>
      <c r="F2469" s="18">
        <v>5.0999999999999996</v>
      </c>
      <c r="G2469" s="20" t="s">
        <v>2791</v>
      </c>
      <c r="H2469" s="19" t="str">
        <f>HYPERLINK("https://elefant.by/catalogue/377324564","Посмотреть на сайте ...")</f>
        <v>Посмотреть на сайте ...</v>
      </c>
    </row>
    <row r="2470" spans="1:8" s="16" customFormat="1" x14ac:dyDescent="0.25">
      <c r="A2470" s="17">
        <v>2460</v>
      </c>
      <c r="B2470" s="17" t="s">
        <v>20</v>
      </c>
      <c r="C2470" s="17" t="s">
        <v>2792</v>
      </c>
      <c r="D2470" s="18">
        <v>15</v>
      </c>
      <c r="E2470" s="18">
        <v>4.25</v>
      </c>
      <c r="F2470" s="18">
        <v>5.0999999999999996</v>
      </c>
      <c r="G2470" s="20" t="s">
        <v>2793</v>
      </c>
      <c r="H2470" s="19" t="str">
        <f>HYPERLINK("https://elefant.by/catalogue/377324565","Посмотреть на сайте ...")</f>
        <v>Посмотреть на сайте ...</v>
      </c>
    </row>
    <row r="2471" spans="1:8" s="16" customFormat="1" x14ac:dyDescent="0.25">
      <c r="A2471" s="17">
        <v>2461</v>
      </c>
      <c r="B2471" s="17" t="s">
        <v>20</v>
      </c>
      <c r="C2471" s="17" t="s">
        <v>2794</v>
      </c>
      <c r="D2471" s="18">
        <v>15</v>
      </c>
      <c r="E2471" s="18">
        <v>4.25</v>
      </c>
      <c r="F2471" s="18">
        <v>5.0999999999999996</v>
      </c>
      <c r="G2471" s="20" t="s">
        <v>2795</v>
      </c>
      <c r="H2471" s="19" t="str">
        <f>HYPERLINK("https://elefant.by/catalogue/410273321","Посмотреть на сайте ...")</f>
        <v>Посмотреть на сайте ...</v>
      </c>
    </row>
    <row r="2472" spans="1:8" s="16" customFormat="1" x14ac:dyDescent="0.25">
      <c r="A2472" s="17">
        <v>2462</v>
      </c>
      <c r="B2472" s="17" t="s">
        <v>20</v>
      </c>
      <c r="C2472" s="17" t="s">
        <v>2796</v>
      </c>
      <c r="D2472" s="18">
        <v>2</v>
      </c>
      <c r="E2472" s="18">
        <v>5.04</v>
      </c>
      <c r="F2472" s="18">
        <v>6.05</v>
      </c>
      <c r="G2472" s="20" t="s">
        <v>2797</v>
      </c>
      <c r="H2472" s="19" t="str">
        <f>HYPERLINK("https://elefant.by/catalogue/438783981","Посмотреть на сайте ...")</f>
        <v>Посмотреть на сайте ...</v>
      </c>
    </row>
    <row r="2473" spans="1:8" s="16" customFormat="1" x14ac:dyDescent="0.25">
      <c r="A2473" s="17">
        <v>2463</v>
      </c>
      <c r="B2473" s="17" t="s">
        <v>20</v>
      </c>
      <c r="C2473" s="17" t="s">
        <v>2798</v>
      </c>
      <c r="D2473" s="18">
        <v>2</v>
      </c>
      <c r="E2473" s="18">
        <v>7.44</v>
      </c>
      <c r="F2473" s="18">
        <v>8.93</v>
      </c>
      <c r="G2473" s="20" t="s">
        <v>2799</v>
      </c>
      <c r="H2473" s="19" t="str">
        <f>HYPERLINK("https://elefant.by/catalogue/438783980","Посмотреть на сайте ...")</f>
        <v>Посмотреть на сайте ...</v>
      </c>
    </row>
    <row r="2474" spans="1:8" s="16" customFormat="1" x14ac:dyDescent="0.25">
      <c r="A2474" s="17">
        <v>2464</v>
      </c>
      <c r="B2474" s="17" t="s">
        <v>20</v>
      </c>
      <c r="C2474" s="17" t="s">
        <v>2800</v>
      </c>
      <c r="D2474" s="18">
        <v>2</v>
      </c>
      <c r="E2474" s="18">
        <v>8.4</v>
      </c>
      <c r="F2474" s="18">
        <v>10.08</v>
      </c>
      <c r="G2474" s="20" t="s">
        <v>2801</v>
      </c>
      <c r="H2474" s="19" t="str">
        <f>HYPERLINK("https://elefant.by/catalogue/531888177","Посмотреть на сайте ...")</f>
        <v>Посмотреть на сайте ...</v>
      </c>
    </row>
    <row r="2475" spans="1:8" s="16" customFormat="1" x14ac:dyDescent="0.25">
      <c r="A2475" s="17">
        <v>2465</v>
      </c>
      <c r="B2475" s="17" t="s">
        <v>20</v>
      </c>
      <c r="C2475" s="17" t="s">
        <v>2802</v>
      </c>
      <c r="D2475" s="18">
        <v>25</v>
      </c>
      <c r="E2475" s="18">
        <v>2.79</v>
      </c>
      <c r="F2475" s="18">
        <v>3.35</v>
      </c>
      <c r="G2475" s="20" t="s">
        <v>2803</v>
      </c>
      <c r="H2475" s="19" t="str">
        <f>HYPERLINK("https://elefant.by/catalogue/449396869","Посмотреть на сайте ...")</f>
        <v>Посмотреть на сайте ...</v>
      </c>
    </row>
    <row r="2476" spans="1:8" s="16" customFormat="1" x14ac:dyDescent="0.25">
      <c r="A2476" s="17">
        <v>2466</v>
      </c>
      <c r="B2476" s="17" t="s">
        <v>20</v>
      </c>
      <c r="C2476" s="17" t="s">
        <v>2804</v>
      </c>
      <c r="D2476" s="18">
        <v>3</v>
      </c>
      <c r="E2476" s="18">
        <v>2.82</v>
      </c>
      <c r="F2476" s="18">
        <v>3.38</v>
      </c>
      <c r="G2476" s="20" t="s">
        <v>2805</v>
      </c>
      <c r="H2476" s="19" t="str">
        <f>HYPERLINK("https://elefant.by/catalogue/645193493","Посмотреть на сайте ...")</f>
        <v>Посмотреть на сайте ...</v>
      </c>
    </row>
    <row r="2477" spans="1:8" s="16" customFormat="1" x14ac:dyDescent="0.25">
      <c r="A2477" s="17">
        <v>2467</v>
      </c>
      <c r="B2477" s="17" t="s">
        <v>20</v>
      </c>
      <c r="C2477" s="17" t="s">
        <v>2806</v>
      </c>
      <c r="D2477" s="18">
        <v>25</v>
      </c>
      <c r="E2477" s="18">
        <v>2.79</v>
      </c>
      <c r="F2477" s="18">
        <v>3.35</v>
      </c>
      <c r="G2477" s="20" t="s">
        <v>2807</v>
      </c>
      <c r="H2477" s="19" t="str">
        <f>HYPERLINK("https://elefant.by/catalogue/452374879","Посмотреть на сайте ...")</f>
        <v>Посмотреть на сайте ...</v>
      </c>
    </row>
    <row r="2478" spans="1:8" s="16" customFormat="1" x14ac:dyDescent="0.25">
      <c r="A2478" s="17">
        <v>2468</v>
      </c>
      <c r="B2478" s="17" t="s">
        <v>20</v>
      </c>
      <c r="C2478" s="17" t="s">
        <v>2808</v>
      </c>
      <c r="D2478" s="18">
        <v>2</v>
      </c>
      <c r="E2478" s="18">
        <v>4.51</v>
      </c>
      <c r="F2478" s="18">
        <v>5.41</v>
      </c>
      <c r="G2478" s="20" t="s">
        <v>2809</v>
      </c>
      <c r="H2478" s="19" t="str">
        <f>HYPERLINK("https://elefant.by/catalogue/645193585","Посмотреть на сайте ...")</f>
        <v>Посмотреть на сайте ...</v>
      </c>
    </row>
    <row r="2479" spans="1:8" s="16" customFormat="1" x14ac:dyDescent="0.25">
      <c r="A2479" s="17">
        <v>2469</v>
      </c>
      <c r="B2479" s="17" t="s">
        <v>63</v>
      </c>
      <c r="C2479" s="17" t="s">
        <v>4024</v>
      </c>
      <c r="D2479" s="18">
        <v>48</v>
      </c>
      <c r="E2479" s="18">
        <v>3.32</v>
      </c>
      <c r="F2479" s="18">
        <v>3.98</v>
      </c>
      <c r="G2479" s="20" t="s">
        <v>5067</v>
      </c>
      <c r="H2479" s="19" t="str">
        <f>HYPERLINK("https://elefant.by/catalogue/646567119","Посмотреть на сайте ...")</f>
        <v>Посмотреть на сайте ...</v>
      </c>
    </row>
    <row r="2480" spans="1:8" s="16" customFormat="1" x14ac:dyDescent="0.25">
      <c r="A2480" s="17">
        <v>2470</v>
      </c>
      <c r="B2480" s="17" t="s">
        <v>154</v>
      </c>
      <c r="C2480" s="17" t="s">
        <v>4025</v>
      </c>
      <c r="D2480" s="18">
        <v>345</v>
      </c>
      <c r="E2480" s="18">
        <v>0.31</v>
      </c>
      <c r="F2480" s="18">
        <v>0.37</v>
      </c>
      <c r="G2480" s="20"/>
      <c r="H2480" s="19" t="str">
        <f>HYPERLINK("https://elefant.by/catalogue/174679726","Посмотреть на сайте ...")</f>
        <v>Посмотреть на сайте ...</v>
      </c>
    </row>
    <row r="2481" spans="1:8" s="16" customFormat="1" x14ac:dyDescent="0.25">
      <c r="A2481" s="17">
        <v>2471</v>
      </c>
      <c r="B2481" s="17" t="s">
        <v>154</v>
      </c>
      <c r="C2481" s="17" t="s">
        <v>2810</v>
      </c>
      <c r="D2481" s="18">
        <v>16</v>
      </c>
      <c r="E2481" s="18">
        <v>0.31</v>
      </c>
      <c r="F2481" s="18">
        <v>0.37</v>
      </c>
      <c r="G2481" s="20"/>
      <c r="H2481" s="19" t="str">
        <f>HYPERLINK("https://elefant.by/catalogue/454482422","Посмотреть на сайте ...")</f>
        <v>Посмотреть на сайте ...</v>
      </c>
    </row>
    <row r="2482" spans="1:8" s="16" customFormat="1" x14ac:dyDescent="0.25">
      <c r="A2482" s="17">
        <v>2472</v>
      </c>
      <c r="B2482" s="17" t="s">
        <v>154</v>
      </c>
      <c r="C2482" s="17" t="s">
        <v>2811</v>
      </c>
      <c r="D2482" s="18">
        <v>324</v>
      </c>
      <c r="E2482" s="18">
        <v>0.36</v>
      </c>
      <c r="F2482" s="18">
        <v>0.43</v>
      </c>
      <c r="G2482" s="20"/>
      <c r="H2482" s="19" t="str">
        <f>HYPERLINK("https://elefant.by/catalogue/563333334","Посмотреть на сайте ...")</f>
        <v>Посмотреть на сайте ...</v>
      </c>
    </row>
    <row r="2483" spans="1:8" s="16" customFormat="1" x14ac:dyDescent="0.25">
      <c r="A2483" s="17">
        <v>2473</v>
      </c>
      <c r="B2483" s="17" t="s">
        <v>157</v>
      </c>
      <c r="C2483" s="17" t="s">
        <v>4026</v>
      </c>
      <c r="D2483" s="18">
        <v>10</v>
      </c>
      <c r="E2483" s="18">
        <v>0.46</v>
      </c>
      <c r="F2483" s="18">
        <v>0.55000000000000004</v>
      </c>
      <c r="G2483" s="20"/>
      <c r="H2483" s="19" t="str">
        <f>HYPERLINK("https://elefant.by/catalogue/470220999","Посмотреть на сайте ...")</f>
        <v>Посмотреть на сайте ...</v>
      </c>
    </row>
    <row r="2484" spans="1:8" s="16" customFormat="1" x14ac:dyDescent="0.25">
      <c r="A2484" s="17">
        <v>2474</v>
      </c>
      <c r="B2484" s="17" t="s">
        <v>24</v>
      </c>
      <c r="C2484" s="17" t="s">
        <v>4027</v>
      </c>
      <c r="D2484" s="18">
        <v>10</v>
      </c>
      <c r="E2484" s="18">
        <v>1.67</v>
      </c>
      <c r="F2484" s="18">
        <v>2</v>
      </c>
      <c r="G2484" s="20" t="s">
        <v>5068</v>
      </c>
      <c r="H2484" s="19" t="str">
        <f>HYPERLINK("https://elefant.by/catalogue/171014212","Посмотреть на сайте ...")</f>
        <v>Посмотреть на сайте ...</v>
      </c>
    </row>
    <row r="2485" spans="1:8" s="16" customFormat="1" x14ac:dyDescent="0.25">
      <c r="A2485" s="17">
        <v>2475</v>
      </c>
      <c r="B2485" s="17" t="s">
        <v>24</v>
      </c>
      <c r="C2485" s="17" t="s">
        <v>4028</v>
      </c>
      <c r="D2485" s="18">
        <v>10</v>
      </c>
      <c r="E2485" s="18">
        <v>2.2000000000000002</v>
      </c>
      <c r="F2485" s="18">
        <v>2.64</v>
      </c>
      <c r="G2485" s="20" t="s">
        <v>5069</v>
      </c>
      <c r="H2485" s="19" t="str">
        <f>HYPERLINK("https://elefant.by/catalogue/171014214","Посмотреть на сайте ...")</f>
        <v>Посмотреть на сайте ...</v>
      </c>
    </row>
    <row r="2486" spans="1:8" s="16" customFormat="1" x14ac:dyDescent="0.25">
      <c r="A2486" s="17">
        <v>2476</v>
      </c>
      <c r="B2486" s="17" t="s">
        <v>20</v>
      </c>
      <c r="C2486" s="17" t="s">
        <v>2812</v>
      </c>
      <c r="D2486" s="18">
        <v>84</v>
      </c>
      <c r="E2486" s="18">
        <v>0.96</v>
      </c>
      <c r="F2486" s="18">
        <v>1.1499999999999999</v>
      </c>
      <c r="G2486" s="20" t="s">
        <v>2813</v>
      </c>
      <c r="H2486" s="19" t="str">
        <f>HYPERLINK("https://elefant.by/catalogue/396730462","Посмотреть на сайте ...")</f>
        <v>Посмотреть на сайте ...</v>
      </c>
    </row>
    <row r="2487" spans="1:8" s="16" customFormat="1" x14ac:dyDescent="0.25">
      <c r="A2487" s="17">
        <v>2477</v>
      </c>
      <c r="B2487" s="17" t="s">
        <v>20</v>
      </c>
      <c r="C2487" s="17" t="s">
        <v>2814</v>
      </c>
      <c r="D2487" s="18">
        <v>84</v>
      </c>
      <c r="E2487" s="18">
        <v>0.95</v>
      </c>
      <c r="F2487" s="18">
        <v>1.1399999999999999</v>
      </c>
      <c r="G2487" s="20" t="s">
        <v>2815</v>
      </c>
      <c r="H2487" s="19" t="str">
        <f>HYPERLINK("https://elefant.by/catalogue/396730463","Посмотреть на сайте ...")</f>
        <v>Посмотреть на сайте ...</v>
      </c>
    </row>
    <row r="2488" spans="1:8" s="16" customFormat="1" x14ac:dyDescent="0.25">
      <c r="A2488" s="17">
        <v>2478</v>
      </c>
      <c r="B2488" s="17"/>
      <c r="C2488" s="17" t="s">
        <v>4029</v>
      </c>
      <c r="D2488" s="18">
        <v>1</v>
      </c>
      <c r="E2488" s="18">
        <v>19.850000000000001</v>
      </c>
      <c r="F2488" s="18">
        <v>23.82</v>
      </c>
      <c r="G2488" s="20" t="s">
        <v>5070</v>
      </c>
      <c r="H2488" s="19" t="str">
        <f>HYPERLINK("https://elefant.by/catalogue/646270793","Посмотреть на сайте ...")</f>
        <v>Посмотреть на сайте ...</v>
      </c>
    </row>
    <row r="2489" spans="1:8" s="16" customFormat="1" x14ac:dyDescent="0.25">
      <c r="A2489" s="17">
        <v>2479</v>
      </c>
      <c r="B2489" s="17" t="s">
        <v>8</v>
      </c>
      <c r="C2489" s="17" t="s">
        <v>2816</v>
      </c>
      <c r="D2489" s="18">
        <v>24</v>
      </c>
      <c r="E2489" s="18">
        <v>1.27</v>
      </c>
      <c r="F2489" s="18">
        <v>1.52</v>
      </c>
      <c r="G2489" s="20" t="s">
        <v>2817</v>
      </c>
      <c r="H2489" s="19" t="str">
        <f>HYPERLINK("https://elefant.by/catalogue/149771850","Посмотреть на сайте ...")</f>
        <v>Посмотреть на сайте ...</v>
      </c>
    </row>
    <row r="2490" spans="1:8" s="16" customFormat="1" x14ac:dyDescent="0.25">
      <c r="A2490" s="17">
        <v>2480</v>
      </c>
      <c r="B2490" s="17" t="s">
        <v>8</v>
      </c>
      <c r="C2490" s="17" t="s">
        <v>2818</v>
      </c>
      <c r="D2490" s="18">
        <v>24</v>
      </c>
      <c r="E2490" s="18">
        <v>1.27</v>
      </c>
      <c r="F2490" s="18">
        <v>1.52</v>
      </c>
      <c r="G2490" s="20" t="s">
        <v>2819</v>
      </c>
      <c r="H2490" s="19" t="str">
        <f>HYPERLINK("https://elefant.by/catalogue/149771851","Посмотреть на сайте ...")</f>
        <v>Посмотреть на сайте ...</v>
      </c>
    </row>
    <row r="2491" spans="1:8" s="16" customFormat="1" x14ac:dyDescent="0.25">
      <c r="A2491" s="17">
        <v>2481</v>
      </c>
      <c r="B2491" s="17" t="s">
        <v>8</v>
      </c>
      <c r="C2491" s="17" t="s">
        <v>2820</v>
      </c>
      <c r="D2491" s="18">
        <v>24</v>
      </c>
      <c r="E2491" s="18">
        <v>1.27</v>
      </c>
      <c r="F2491" s="18">
        <v>1.52</v>
      </c>
      <c r="G2491" s="20" t="s">
        <v>2821</v>
      </c>
      <c r="H2491" s="19" t="str">
        <f>HYPERLINK("https://elefant.by/catalogue/149771852","Посмотреть на сайте ...")</f>
        <v>Посмотреть на сайте ...</v>
      </c>
    </row>
    <row r="2492" spans="1:8" s="16" customFormat="1" x14ac:dyDescent="0.25">
      <c r="A2492" s="17">
        <v>2482</v>
      </c>
      <c r="B2492" s="17" t="s">
        <v>158</v>
      </c>
      <c r="C2492" s="17" t="s">
        <v>4030</v>
      </c>
      <c r="D2492" s="18">
        <v>10</v>
      </c>
      <c r="E2492" s="18">
        <v>1.37</v>
      </c>
      <c r="F2492" s="18">
        <v>1.64</v>
      </c>
      <c r="G2492" s="20" t="s">
        <v>5071</v>
      </c>
      <c r="H2492" s="19" t="str">
        <f>HYPERLINK("https://elefant.by/catalogue/526424596","Посмотреть на сайте ...")</f>
        <v>Посмотреть на сайте ...</v>
      </c>
    </row>
    <row r="2493" spans="1:8" s="16" customFormat="1" x14ac:dyDescent="0.25">
      <c r="A2493" s="17">
        <v>2483</v>
      </c>
      <c r="B2493" s="17" t="s">
        <v>24</v>
      </c>
      <c r="C2493" s="17" t="s">
        <v>4031</v>
      </c>
      <c r="D2493" s="18">
        <v>25</v>
      </c>
      <c r="E2493" s="18">
        <v>2.34</v>
      </c>
      <c r="F2493" s="18">
        <v>2.81</v>
      </c>
      <c r="G2493" s="20" t="s">
        <v>5072</v>
      </c>
      <c r="H2493" s="19" t="str">
        <f>HYPERLINK("https://elefant.by/catalogue/151380242","Посмотреть на сайте ...")</f>
        <v>Посмотреть на сайте ...</v>
      </c>
    </row>
    <row r="2494" spans="1:8" s="16" customFormat="1" x14ac:dyDescent="0.25">
      <c r="A2494" s="17">
        <v>2484</v>
      </c>
      <c r="B2494" s="17" t="s">
        <v>12</v>
      </c>
      <c r="C2494" s="17" t="s">
        <v>4032</v>
      </c>
      <c r="D2494" s="18">
        <v>100</v>
      </c>
      <c r="E2494" s="18">
        <v>0.08</v>
      </c>
      <c r="F2494" s="18">
        <v>0.1</v>
      </c>
      <c r="G2494" s="20" t="s">
        <v>5073</v>
      </c>
      <c r="H2494" s="19" t="str">
        <f>HYPERLINK("https://elefant.by/catalogue/651018052","Посмотреть на сайте ...")</f>
        <v>Посмотреть на сайте ...</v>
      </c>
    </row>
    <row r="2495" spans="1:8" s="16" customFormat="1" x14ac:dyDescent="0.25">
      <c r="A2495" s="17">
        <v>2485</v>
      </c>
      <c r="B2495" s="17" t="s">
        <v>12</v>
      </c>
      <c r="C2495" s="17" t="s">
        <v>4033</v>
      </c>
      <c r="D2495" s="18">
        <v>100</v>
      </c>
      <c r="E2495" s="18">
        <v>7.0000000000000007E-2</v>
      </c>
      <c r="F2495" s="18">
        <v>0.08</v>
      </c>
      <c r="G2495" s="20" t="s">
        <v>5074</v>
      </c>
      <c r="H2495" s="19" t="str">
        <f>HYPERLINK("https://elefant.by/catalogue/689461270","Посмотреть на сайте ...")</f>
        <v>Посмотреть на сайте ...</v>
      </c>
    </row>
    <row r="2496" spans="1:8" s="16" customFormat="1" x14ac:dyDescent="0.25">
      <c r="A2496" s="17">
        <v>2486</v>
      </c>
      <c r="B2496" s="17" t="s">
        <v>223</v>
      </c>
      <c r="C2496" s="17" t="s">
        <v>2822</v>
      </c>
      <c r="D2496" s="18">
        <v>20</v>
      </c>
      <c r="E2496" s="18">
        <v>1.64</v>
      </c>
      <c r="F2496" s="18">
        <v>1.97</v>
      </c>
      <c r="G2496" s="20" t="s">
        <v>2823</v>
      </c>
      <c r="H2496" s="19" t="str">
        <f>HYPERLINK("https://elefant.by/catalogue/152321536","Посмотреть на сайте ...")</f>
        <v>Посмотреть на сайте ...</v>
      </c>
    </row>
    <row r="2497" spans="1:8" s="16" customFormat="1" x14ac:dyDescent="0.25">
      <c r="A2497" s="17">
        <v>2487</v>
      </c>
      <c r="B2497" s="17" t="s">
        <v>224</v>
      </c>
      <c r="C2497" s="17" t="s">
        <v>2824</v>
      </c>
      <c r="D2497" s="18">
        <v>2</v>
      </c>
      <c r="E2497" s="18">
        <v>7.05</v>
      </c>
      <c r="F2497" s="18">
        <v>8.4600000000000009</v>
      </c>
      <c r="G2497" s="20" t="s">
        <v>2825</v>
      </c>
      <c r="H2497" s="19" t="str">
        <f>HYPERLINK("https://elefant.by/catalogue/441930961","Посмотреть на сайте ...")</f>
        <v>Посмотреть на сайте ...</v>
      </c>
    </row>
    <row r="2498" spans="1:8" s="16" customFormat="1" x14ac:dyDescent="0.25">
      <c r="A2498" s="17">
        <v>2488</v>
      </c>
      <c r="B2498" s="17" t="s">
        <v>2826</v>
      </c>
      <c r="C2498" s="17" t="s">
        <v>2827</v>
      </c>
      <c r="D2498" s="18">
        <v>1</v>
      </c>
      <c r="E2498" s="18">
        <v>20.69</v>
      </c>
      <c r="F2498" s="18">
        <v>24.83</v>
      </c>
      <c r="G2498" s="20" t="s">
        <v>2828</v>
      </c>
      <c r="H2498" s="19" t="str">
        <f>HYPERLINK("https://elefant.by/catalogue/442147012","Посмотреть на сайте ...")</f>
        <v>Посмотреть на сайте ...</v>
      </c>
    </row>
    <row r="2499" spans="1:8" s="16" customFormat="1" x14ac:dyDescent="0.25">
      <c r="A2499" s="17">
        <v>2489</v>
      </c>
      <c r="B2499" s="17" t="s">
        <v>2826</v>
      </c>
      <c r="C2499" s="17" t="s">
        <v>2829</v>
      </c>
      <c r="D2499" s="18">
        <v>1</v>
      </c>
      <c r="E2499" s="18">
        <v>30.97</v>
      </c>
      <c r="F2499" s="18">
        <v>37.159999999999997</v>
      </c>
      <c r="G2499" s="20" t="s">
        <v>2830</v>
      </c>
      <c r="H2499" s="19" t="str">
        <f>HYPERLINK("https://elefant.by/catalogue/442147013","Посмотреть на сайте ...")</f>
        <v>Посмотреть на сайте ...</v>
      </c>
    </row>
    <row r="2500" spans="1:8" s="16" customFormat="1" x14ac:dyDescent="0.25">
      <c r="A2500" s="17">
        <v>2490</v>
      </c>
      <c r="B2500" s="17" t="s">
        <v>2826</v>
      </c>
      <c r="C2500" s="17" t="s">
        <v>2831</v>
      </c>
      <c r="D2500" s="18">
        <v>1</v>
      </c>
      <c r="E2500" s="18">
        <v>33.270000000000003</v>
      </c>
      <c r="F2500" s="18">
        <v>39.92</v>
      </c>
      <c r="G2500" s="20" t="s">
        <v>2832</v>
      </c>
      <c r="H2500" s="19" t="str">
        <f>HYPERLINK("https://elefant.by/catalogue/442147014","Посмотреть на сайте ...")</f>
        <v>Посмотреть на сайте ...</v>
      </c>
    </row>
    <row r="2501" spans="1:8" s="16" customFormat="1" x14ac:dyDescent="0.25">
      <c r="A2501" s="17">
        <v>2491</v>
      </c>
      <c r="B2501" s="17" t="s">
        <v>224</v>
      </c>
      <c r="C2501" s="17" t="s">
        <v>2833</v>
      </c>
      <c r="D2501" s="18">
        <v>1</v>
      </c>
      <c r="E2501" s="18">
        <v>7.86</v>
      </c>
      <c r="F2501" s="18">
        <v>9.43</v>
      </c>
      <c r="G2501" s="20" t="s">
        <v>2834</v>
      </c>
      <c r="H2501" s="19" t="str">
        <f>HYPERLINK("https://elefant.by/catalogue/443446852","Посмотреть на сайте ...")</f>
        <v>Посмотреть на сайте ...</v>
      </c>
    </row>
    <row r="2502" spans="1:8" s="16" customFormat="1" x14ac:dyDescent="0.25">
      <c r="A2502" s="17">
        <v>2492</v>
      </c>
      <c r="B2502" s="17" t="s">
        <v>24</v>
      </c>
      <c r="C2502" s="17" t="s">
        <v>4034</v>
      </c>
      <c r="D2502" s="18">
        <v>10</v>
      </c>
      <c r="E2502" s="18">
        <v>4.5599999999999996</v>
      </c>
      <c r="F2502" s="18">
        <v>5.47</v>
      </c>
      <c r="G2502" s="20" t="s">
        <v>5075</v>
      </c>
      <c r="H2502" s="19" t="str">
        <f>HYPERLINK("https://elefant.by/catalogue/155990673","Посмотреть на сайте ...")</f>
        <v>Посмотреть на сайте ...</v>
      </c>
    </row>
    <row r="2503" spans="1:8" s="16" customFormat="1" x14ac:dyDescent="0.25">
      <c r="A2503" s="17">
        <v>2493</v>
      </c>
      <c r="B2503" s="17" t="s">
        <v>17</v>
      </c>
      <c r="C2503" s="17" t="s">
        <v>4035</v>
      </c>
      <c r="D2503" s="18">
        <v>4</v>
      </c>
      <c r="E2503" s="18">
        <v>2.36</v>
      </c>
      <c r="F2503" s="18">
        <v>2.83</v>
      </c>
      <c r="G2503" s="20" t="s">
        <v>5076</v>
      </c>
      <c r="H2503" s="19" t="str">
        <f>HYPERLINK("https://elefant.by/catalogue/691790813","Посмотреть на сайте ...")</f>
        <v>Посмотреть на сайте ...</v>
      </c>
    </row>
    <row r="2504" spans="1:8" s="16" customFormat="1" x14ac:dyDescent="0.25">
      <c r="A2504" s="17">
        <v>2494</v>
      </c>
      <c r="B2504" s="17" t="s">
        <v>17</v>
      </c>
      <c r="C2504" s="17" t="s">
        <v>2835</v>
      </c>
      <c r="D2504" s="18">
        <v>2</v>
      </c>
      <c r="E2504" s="18">
        <v>2.72</v>
      </c>
      <c r="F2504" s="18">
        <v>3.26</v>
      </c>
      <c r="G2504" s="20" t="s">
        <v>2836</v>
      </c>
      <c r="H2504" s="19" t="str">
        <f>HYPERLINK("https://elefant.by/catalogue/402510988","Посмотреть на сайте ...")</f>
        <v>Посмотреть на сайте ...</v>
      </c>
    </row>
    <row r="2505" spans="1:8" s="16" customFormat="1" x14ac:dyDescent="0.25">
      <c r="A2505" s="17">
        <v>2495</v>
      </c>
      <c r="B2505" s="17" t="s">
        <v>17</v>
      </c>
      <c r="C2505" s="17" t="s">
        <v>2837</v>
      </c>
      <c r="D2505" s="18">
        <v>2</v>
      </c>
      <c r="E2505" s="18">
        <v>2.72</v>
      </c>
      <c r="F2505" s="18">
        <v>3.26</v>
      </c>
      <c r="G2505" s="20" t="s">
        <v>2838</v>
      </c>
      <c r="H2505" s="19" t="str">
        <f>HYPERLINK("https://elefant.by/catalogue/402510989","Посмотреть на сайте ...")</f>
        <v>Посмотреть на сайте ...</v>
      </c>
    </row>
    <row r="2506" spans="1:8" s="16" customFormat="1" x14ac:dyDescent="0.25">
      <c r="A2506" s="17">
        <v>2496</v>
      </c>
      <c r="B2506" s="17" t="s">
        <v>17</v>
      </c>
      <c r="C2506" s="17" t="s">
        <v>2839</v>
      </c>
      <c r="D2506" s="18">
        <v>15</v>
      </c>
      <c r="E2506" s="18">
        <v>1.23</v>
      </c>
      <c r="F2506" s="18">
        <v>1.48</v>
      </c>
      <c r="G2506" s="20" t="s">
        <v>2840</v>
      </c>
      <c r="H2506" s="19" t="str">
        <f>HYPERLINK("https://elefant.by/catalogue/618937615","Посмотреть на сайте ...")</f>
        <v>Посмотреть на сайте ...</v>
      </c>
    </row>
    <row r="2507" spans="1:8" s="16" customFormat="1" x14ac:dyDescent="0.25">
      <c r="A2507" s="17">
        <v>2497</v>
      </c>
      <c r="B2507" s="17" t="s">
        <v>12</v>
      </c>
      <c r="C2507" s="17" t="s">
        <v>2843</v>
      </c>
      <c r="D2507" s="18">
        <v>12</v>
      </c>
      <c r="E2507" s="18">
        <v>0.75</v>
      </c>
      <c r="F2507" s="18">
        <v>0.9</v>
      </c>
      <c r="G2507" s="20" t="s">
        <v>2844</v>
      </c>
      <c r="H2507" s="19" t="str">
        <f>HYPERLINK("https://elefant.by/catalogue/451386011","Посмотреть на сайте ...")</f>
        <v>Посмотреть на сайте ...</v>
      </c>
    </row>
    <row r="2508" spans="1:8" s="16" customFormat="1" x14ac:dyDescent="0.25">
      <c r="A2508" s="17">
        <v>2498</v>
      </c>
      <c r="B2508" s="17" t="s">
        <v>12</v>
      </c>
      <c r="C2508" s="17" t="s">
        <v>4036</v>
      </c>
      <c r="D2508" s="18">
        <v>12</v>
      </c>
      <c r="E2508" s="18">
        <v>0.66</v>
      </c>
      <c r="F2508" s="18">
        <v>0.79</v>
      </c>
      <c r="G2508" s="20" t="s">
        <v>5077</v>
      </c>
      <c r="H2508" s="19" t="str">
        <f>HYPERLINK("https://elefant.by/catalogue/697549779","Посмотреть на сайте ...")</f>
        <v>Посмотреть на сайте ...</v>
      </c>
    </row>
    <row r="2509" spans="1:8" s="16" customFormat="1" x14ac:dyDescent="0.25">
      <c r="A2509" s="17">
        <v>2499</v>
      </c>
      <c r="B2509" s="17" t="s">
        <v>9</v>
      </c>
      <c r="C2509" s="17" t="s">
        <v>2841</v>
      </c>
      <c r="D2509" s="18">
        <v>10</v>
      </c>
      <c r="E2509" s="18">
        <v>1.2</v>
      </c>
      <c r="F2509" s="18">
        <v>1.44</v>
      </c>
      <c r="G2509" s="20" t="s">
        <v>2842</v>
      </c>
      <c r="H2509" s="19" t="str">
        <f>HYPERLINK("https://elefant.by/catalogue/147587004","Посмотреть на сайте ...")</f>
        <v>Посмотреть на сайте ...</v>
      </c>
    </row>
    <row r="2510" spans="1:8" s="16" customFormat="1" x14ac:dyDescent="0.25">
      <c r="A2510" s="17">
        <v>2500</v>
      </c>
      <c r="B2510" s="17" t="s">
        <v>63</v>
      </c>
      <c r="C2510" s="17" t="s">
        <v>2845</v>
      </c>
      <c r="D2510" s="18">
        <v>12</v>
      </c>
      <c r="E2510" s="18">
        <v>0.71</v>
      </c>
      <c r="F2510" s="18">
        <v>0.85</v>
      </c>
      <c r="G2510" s="20" t="s">
        <v>2846</v>
      </c>
      <c r="H2510" s="19" t="str">
        <f>HYPERLINK("https://elefant.by/catalogue/451386045","Посмотреть на сайте ...")</f>
        <v>Посмотреть на сайте ...</v>
      </c>
    </row>
    <row r="2511" spans="1:8" s="16" customFormat="1" x14ac:dyDescent="0.25">
      <c r="A2511" s="17">
        <v>2501</v>
      </c>
      <c r="B2511" s="17" t="s">
        <v>12</v>
      </c>
      <c r="C2511" s="17" t="s">
        <v>2847</v>
      </c>
      <c r="D2511" s="18">
        <v>12</v>
      </c>
      <c r="E2511" s="18">
        <v>1.18</v>
      </c>
      <c r="F2511" s="18">
        <v>1.42</v>
      </c>
      <c r="G2511" s="20" t="s">
        <v>2848</v>
      </c>
      <c r="H2511" s="19" t="str">
        <f>HYPERLINK("https://elefant.by/catalogue/492334023","Посмотреть на сайте ...")</f>
        <v>Посмотреть на сайте ...</v>
      </c>
    </row>
    <row r="2512" spans="1:8" s="16" customFormat="1" x14ac:dyDescent="0.25">
      <c r="A2512" s="17">
        <v>2502</v>
      </c>
      <c r="B2512" s="17" t="s">
        <v>17</v>
      </c>
      <c r="C2512" s="17" t="s">
        <v>2849</v>
      </c>
      <c r="D2512" s="18">
        <v>15</v>
      </c>
      <c r="E2512" s="18">
        <v>2.92</v>
      </c>
      <c r="F2512" s="18">
        <v>3.5</v>
      </c>
      <c r="G2512" s="20" t="s">
        <v>2850</v>
      </c>
      <c r="H2512" s="19" t="str">
        <f>HYPERLINK("https://elefant.by/catalogue/623303007","Посмотреть на сайте ...")</f>
        <v>Посмотреть на сайте ...</v>
      </c>
    </row>
    <row r="2513" spans="1:8" s="16" customFormat="1" x14ac:dyDescent="0.25">
      <c r="A2513" s="17">
        <v>2503</v>
      </c>
      <c r="B2513" s="17" t="s">
        <v>12</v>
      </c>
      <c r="C2513" s="17" t="s">
        <v>4038</v>
      </c>
      <c r="D2513" s="18">
        <v>24</v>
      </c>
      <c r="E2513" s="18">
        <v>1.64</v>
      </c>
      <c r="F2513" s="18">
        <v>1.97</v>
      </c>
      <c r="G2513" s="20" t="s">
        <v>5079</v>
      </c>
      <c r="H2513" s="19" t="str">
        <f>HYPERLINK("https://elefant.by/catalogue/697549780","Посмотреть на сайте ...")</f>
        <v>Посмотреть на сайте ...</v>
      </c>
    </row>
    <row r="2514" spans="1:8" s="16" customFormat="1" x14ac:dyDescent="0.25">
      <c r="A2514" s="17">
        <v>2504</v>
      </c>
      <c r="B2514" s="17" t="s">
        <v>12</v>
      </c>
      <c r="C2514" s="17" t="s">
        <v>4039</v>
      </c>
      <c r="D2514" s="18">
        <v>24</v>
      </c>
      <c r="E2514" s="18">
        <v>1.68</v>
      </c>
      <c r="F2514" s="18">
        <v>2.02</v>
      </c>
      <c r="G2514" s="20" t="s">
        <v>5080</v>
      </c>
      <c r="H2514" s="19" t="str">
        <f>HYPERLINK("https://elefant.by/catalogue/697396642","Посмотреть на сайте ...")</f>
        <v>Посмотреть на сайте ...</v>
      </c>
    </row>
    <row r="2515" spans="1:8" s="16" customFormat="1" x14ac:dyDescent="0.25">
      <c r="A2515" s="17">
        <v>2505</v>
      </c>
      <c r="B2515" s="17" t="s">
        <v>12</v>
      </c>
      <c r="C2515" s="17" t="s">
        <v>4040</v>
      </c>
      <c r="D2515" s="18">
        <v>24</v>
      </c>
      <c r="E2515" s="18">
        <v>1.37</v>
      </c>
      <c r="F2515" s="18">
        <v>1.64</v>
      </c>
      <c r="G2515" s="20" t="s">
        <v>5081</v>
      </c>
      <c r="H2515" s="19" t="str">
        <f>HYPERLINK("https://elefant.by/catalogue/692798857","Посмотреть на сайте ...")</f>
        <v>Посмотреть на сайте ...</v>
      </c>
    </row>
    <row r="2516" spans="1:8" s="16" customFormat="1" x14ac:dyDescent="0.25">
      <c r="A2516" s="17">
        <v>2506</v>
      </c>
      <c r="B2516" s="17" t="s">
        <v>12</v>
      </c>
      <c r="C2516" s="17" t="s">
        <v>2857</v>
      </c>
      <c r="D2516" s="18">
        <v>24</v>
      </c>
      <c r="E2516" s="18">
        <v>1.5</v>
      </c>
      <c r="F2516" s="18">
        <v>1.8</v>
      </c>
      <c r="G2516" s="20" t="s">
        <v>2858</v>
      </c>
      <c r="H2516" s="19" t="str">
        <f>HYPERLINK("https://elefant.by/catalogue/451386046","Посмотреть на сайте ...")</f>
        <v>Посмотреть на сайте ...</v>
      </c>
    </row>
    <row r="2517" spans="1:8" s="16" customFormat="1" x14ac:dyDescent="0.25">
      <c r="A2517" s="17">
        <v>2507</v>
      </c>
      <c r="B2517" s="17" t="s">
        <v>9</v>
      </c>
      <c r="C2517" s="17" t="s">
        <v>4037</v>
      </c>
      <c r="D2517" s="18">
        <v>12</v>
      </c>
      <c r="E2517" s="18">
        <v>2.89</v>
      </c>
      <c r="F2517" s="18">
        <v>3.47</v>
      </c>
      <c r="G2517" s="20" t="s">
        <v>5078</v>
      </c>
      <c r="H2517" s="19" t="str">
        <f>HYPERLINK("https://elefant.by/catalogue/648122742","Посмотреть на сайте ...")</f>
        <v>Посмотреть на сайте ...</v>
      </c>
    </row>
    <row r="2518" spans="1:8" s="16" customFormat="1" x14ac:dyDescent="0.25">
      <c r="A2518" s="17">
        <v>2508</v>
      </c>
      <c r="B2518" s="17" t="s">
        <v>9</v>
      </c>
      <c r="C2518" s="17" t="s">
        <v>2851</v>
      </c>
      <c r="D2518" s="18">
        <v>24</v>
      </c>
      <c r="E2518" s="18">
        <v>2.57</v>
      </c>
      <c r="F2518" s="18">
        <v>3.08</v>
      </c>
      <c r="G2518" s="20" t="s">
        <v>2852</v>
      </c>
      <c r="H2518" s="19" t="str">
        <f>HYPERLINK("https://elefant.by/catalogue/175740538","Посмотреть на сайте ...")</f>
        <v>Посмотреть на сайте ...</v>
      </c>
    </row>
    <row r="2519" spans="1:8" s="16" customFormat="1" x14ac:dyDescent="0.25">
      <c r="A2519" s="17">
        <v>2509</v>
      </c>
      <c r="B2519" s="17" t="s">
        <v>9</v>
      </c>
      <c r="C2519" s="17" t="s">
        <v>2853</v>
      </c>
      <c r="D2519" s="18">
        <v>12</v>
      </c>
      <c r="E2519" s="18">
        <v>3.89</v>
      </c>
      <c r="F2519" s="18">
        <v>4.67</v>
      </c>
      <c r="G2519" s="20" t="s">
        <v>2854</v>
      </c>
      <c r="H2519" s="19" t="str">
        <f>HYPERLINK("https://elefant.by/catalogue/190418265","Посмотреть на сайте ...")</f>
        <v>Посмотреть на сайте ...</v>
      </c>
    </row>
    <row r="2520" spans="1:8" s="16" customFormat="1" x14ac:dyDescent="0.25">
      <c r="A2520" s="17">
        <v>2510</v>
      </c>
      <c r="B2520" s="17" t="s">
        <v>9</v>
      </c>
      <c r="C2520" s="17" t="s">
        <v>2855</v>
      </c>
      <c r="D2520" s="18">
        <v>12</v>
      </c>
      <c r="E2520" s="18">
        <v>2.64</v>
      </c>
      <c r="F2520" s="18">
        <v>3.17</v>
      </c>
      <c r="G2520" s="20" t="s">
        <v>2856</v>
      </c>
      <c r="H2520" s="19" t="str">
        <f>HYPERLINK("https://elefant.by/catalogue/319736800","Посмотреть на сайте ...")</f>
        <v>Посмотреть на сайте ...</v>
      </c>
    </row>
    <row r="2521" spans="1:8" s="16" customFormat="1" x14ac:dyDescent="0.25">
      <c r="A2521" s="17">
        <v>2511</v>
      </c>
      <c r="B2521" s="17" t="s">
        <v>63</v>
      </c>
      <c r="C2521" s="17" t="s">
        <v>2859</v>
      </c>
      <c r="D2521" s="18">
        <v>24</v>
      </c>
      <c r="E2521" s="18">
        <v>0.64</v>
      </c>
      <c r="F2521" s="18">
        <v>0.77</v>
      </c>
      <c r="G2521" s="20" t="s">
        <v>2860</v>
      </c>
      <c r="H2521" s="19" t="str">
        <f>HYPERLINK("https://elefant.by/catalogue/490044032","Посмотреть на сайте ...")</f>
        <v>Посмотреть на сайте ...</v>
      </c>
    </row>
    <row r="2522" spans="1:8" s="16" customFormat="1" x14ac:dyDescent="0.25">
      <c r="A2522" s="17">
        <v>2512</v>
      </c>
      <c r="B2522" s="17" t="s">
        <v>17</v>
      </c>
      <c r="C2522" s="17" t="s">
        <v>2861</v>
      </c>
      <c r="D2522" s="18">
        <v>20</v>
      </c>
      <c r="E2522" s="18">
        <v>1.77</v>
      </c>
      <c r="F2522" s="18">
        <v>2.12</v>
      </c>
      <c r="G2522" s="20" t="s">
        <v>2862</v>
      </c>
      <c r="H2522" s="19" t="str">
        <f>HYPERLINK("https://elefant.by/catalogue/618937616","Посмотреть на сайте ...")</f>
        <v>Посмотреть на сайте ...</v>
      </c>
    </row>
    <row r="2523" spans="1:8" s="16" customFormat="1" x14ac:dyDescent="0.25">
      <c r="A2523" s="17">
        <v>2513</v>
      </c>
      <c r="B2523" s="17" t="s">
        <v>12</v>
      </c>
      <c r="C2523" s="17" t="s">
        <v>2873</v>
      </c>
      <c r="D2523" s="18">
        <v>24</v>
      </c>
      <c r="E2523" s="18">
        <v>0.71</v>
      </c>
      <c r="F2523" s="18">
        <v>0.85</v>
      </c>
      <c r="G2523" s="20" t="s">
        <v>2874</v>
      </c>
      <c r="H2523" s="19" t="str">
        <f>HYPERLINK("https://elefant.by/catalogue/451365201","Посмотреть на сайте ...")</f>
        <v>Посмотреть на сайте ...</v>
      </c>
    </row>
    <row r="2524" spans="1:8" s="16" customFormat="1" x14ac:dyDescent="0.25">
      <c r="A2524" s="17">
        <v>2514</v>
      </c>
      <c r="B2524" s="17" t="s">
        <v>12</v>
      </c>
      <c r="C2524" s="17" t="s">
        <v>2875</v>
      </c>
      <c r="D2524" s="18">
        <v>24</v>
      </c>
      <c r="E2524" s="18">
        <v>0.27</v>
      </c>
      <c r="F2524" s="18">
        <v>0.32</v>
      </c>
      <c r="G2524" s="20" t="s">
        <v>2876</v>
      </c>
      <c r="H2524" s="19" t="str">
        <f>HYPERLINK("https://elefant.by/catalogue/596509680","Посмотреть на сайте ...")</f>
        <v>Посмотреть на сайте ...</v>
      </c>
    </row>
    <row r="2525" spans="1:8" s="16" customFormat="1" x14ac:dyDescent="0.25">
      <c r="A2525" s="17">
        <v>2515</v>
      </c>
      <c r="B2525" s="17" t="s">
        <v>12</v>
      </c>
      <c r="C2525" s="17" t="s">
        <v>2877</v>
      </c>
      <c r="D2525" s="18">
        <v>24</v>
      </c>
      <c r="E2525" s="18">
        <v>0.72</v>
      </c>
      <c r="F2525" s="18">
        <v>0.86</v>
      </c>
      <c r="G2525" s="20" t="s">
        <v>2878</v>
      </c>
      <c r="H2525" s="19" t="str">
        <f>HYPERLINK("https://elefant.by/catalogue/451365200","Посмотреть на сайте ...")</f>
        <v>Посмотреть на сайте ...</v>
      </c>
    </row>
    <row r="2526" spans="1:8" s="16" customFormat="1" x14ac:dyDescent="0.25">
      <c r="A2526" s="17">
        <v>2516</v>
      </c>
      <c r="B2526" s="17" t="s">
        <v>9</v>
      </c>
      <c r="C2526" s="17" t="s">
        <v>2863</v>
      </c>
      <c r="D2526" s="18">
        <v>12</v>
      </c>
      <c r="E2526" s="18">
        <v>2.98</v>
      </c>
      <c r="F2526" s="18">
        <v>3.58</v>
      </c>
      <c r="G2526" s="20" t="s">
        <v>2864</v>
      </c>
      <c r="H2526" s="19" t="str">
        <f>HYPERLINK("https://elefant.by/catalogue/147110705","Посмотреть на сайте ...")</f>
        <v>Посмотреть на сайте ...</v>
      </c>
    </row>
    <row r="2527" spans="1:8" s="16" customFormat="1" x14ac:dyDescent="0.25">
      <c r="A2527" s="17">
        <v>2517</v>
      </c>
      <c r="B2527" s="17" t="s">
        <v>9</v>
      </c>
      <c r="C2527" s="17" t="s">
        <v>2865</v>
      </c>
      <c r="D2527" s="18">
        <v>12</v>
      </c>
      <c r="E2527" s="18">
        <v>2.89</v>
      </c>
      <c r="F2527" s="18">
        <v>3.47</v>
      </c>
      <c r="G2527" s="20" t="s">
        <v>2866</v>
      </c>
      <c r="H2527" s="19" t="str">
        <f>HYPERLINK("https://elefant.by/catalogue/173848401","Посмотреть на сайте ...")</f>
        <v>Посмотреть на сайте ...</v>
      </c>
    </row>
    <row r="2528" spans="1:8" s="16" customFormat="1" x14ac:dyDescent="0.25">
      <c r="A2528" s="17">
        <v>2518</v>
      </c>
      <c r="B2528" s="17" t="s">
        <v>9</v>
      </c>
      <c r="C2528" s="17" t="s">
        <v>2867</v>
      </c>
      <c r="D2528" s="18">
        <v>12</v>
      </c>
      <c r="E2528" s="18">
        <v>2.68</v>
      </c>
      <c r="F2528" s="18">
        <v>3.22</v>
      </c>
      <c r="G2528" s="20" t="s">
        <v>2868</v>
      </c>
      <c r="H2528" s="19" t="str">
        <f>HYPERLINK("https://elefant.by/catalogue/176446701","Посмотреть на сайте ...")</f>
        <v>Посмотреть на сайте ...</v>
      </c>
    </row>
    <row r="2529" spans="1:8" s="16" customFormat="1" x14ac:dyDescent="0.25">
      <c r="A2529" s="17">
        <v>2519</v>
      </c>
      <c r="B2529" s="17" t="s">
        <v>9</v>
      </c>
      <c r="C2529" s="17" t="s">
        <v>2869</v>
      </c>
      <c r="D2529" s="18">
        <v>12</v>
      </c>
      <c r="E2529" s="18">
        <v>2.2599999999999998</v>
      </c>
      <c r="F2529" s="18">
        <v>2.71</v>
      </c>
      <c r="G2529" s="20" t="s">
        <v>2870</v>
      </c>
      <c r="H2529" s="19" t="str">
        <f>HYPERLINK("https://elefant.by/catalogue/175162175","Посмотреть на сайте ...")</f>
        <v>Посмотреть на сайте ...</v>
      </c>
    </row>
    <row r="2530" spans="1:8" s="16" customFormat="1" x14ac:dyDescent="0.25">
      <c r="A2530" s="17">
        <v>2520</v>
      </c>
      <c r="B2530" s="17" t="s">
        <v>9</v>
      </c>
      <c r="C2530" s="17" t="s">
        <v>2871</v>
      </c>
      <c r="D2530" s="18">
        <v>12</v>
      </c>
      <c r="E2530" s="18">
        <v>1.95</v>
      </c>
      <c r="F2530" s="18">
        <v>2.34</v>
      </c>
      <c r="G2530" s="20" t="s">
        <v>2872</v>
      </c>
      <c r="H2530" s="19" t="str">
        <f>HYPERLINK("https://elefant.by/catalogue/175162176","Посмотреть на сайте ...")</f>
        <v>Посмотреть на сайте ...</v>
      </c>
    </row>
    <row r="2531" spans="1:8" s="16" customFormat="1" x14ac:dyDescent="0.25">
      <c r="A2531" s="17">
        <v>2521</v>
      </c>
      <c r="B2531" s="17" t="s">
        <v>2881</v>
      </c>
      <c r="C2531" s="17" t="s">
        <v>4041</v>
      </c>
      <c r="D2531" s="18">
        <v>30</v>
      </c>
      <c r="E2531" s="18">
        <v>13.87</v>
      </c>
      <c r="F2531" s="18">
        <v>16.64</v>
      </c>
      <c r="G2531" s="20"/>
      <c r="H2531" s="19" t="str">
        <f>HYPERLINK("https://elefant.by/catalogue/691306641","Посмотреть на сайте ...")</f>
        <v>Посмотреть на сайте ...</v>
      </c>
    </row>
    <row r="2532" spans="1:8" s="16" customFormat="1" x14ac:dyDescent="0.25">
      <c r="A2532" s="17">
        <v>2522</v>
      </c>
      <c r="B2532" s="17" t="s">
        <v>2879</v>
      </c>
      <c r="C2532" s="17" t="s">
        <v>4042</v>
      </c>
      <c r="D2532" s="18">
        <v>30</v>
      </c>
      <c r="E2532" s="18">
        <v>16.77</v>
      </c>
      <c r="F2532" s="18">
        <v>20.12</v>
      </c>
      <c r="G2532" s="20"/>
      <c r="H2532" s="19" t="str">
        <f>HYPERLINK("https://elefant.by/catalogue/385059999","Посмотреть на сайте ...")</f>
        <v>Посмотреть на сайте ...</v>
      </c>
    </row>
    <row r="2533" spans="1:8" s="16" customFormat="1" x14ac:dyDescent="0.25">
      <c r="A2533" s="17">
        <v>2523</v>
      </c>
      <c r="B2533" s="17" t="s">
        <v>2879</v>
      </c>
      <c r="C2533" s="17" t="s">
        <v>2880</v>
      </c>
      <c r="D2533" s="18">
        <v>30</v>
      </c>
      <c r="E2533" s="18">
        <v>16.77</v>
      </c>
      <c r="F2533" s="18">
        <v>20.12</v>
      </c>
      <c r="G2533" s="20"/>
      <c r="H2533" s="19" t="str">
        <f>HYPERLINK("https://elefant.by/catalogue/385060000","Посмотреть на сайте ...")</f>
        <v>Посмотреть на сайте ...</v>
      </c>
    </row>
    <row r="2534" spans="1:8" s="16" customFormat="1" x14ac:dyDescent="0.25">
      <c r="A2534" s="17">
        <v>2524</v>
      </c>
      <c r="B2534" s="17" t="s">
        <v>2881</v>
      </c>
      <c r="C2534" s="17" t="s">
        <v>4043</v>
      </c>
      <c r="D2534" s="18">
        <v>10</v>
      </c>
      <c r="E2534" s="18">
        <v>4.16</v>
      </c>
      <c r="F2534" s="18">
        <v>4.99</v>
      </c>
      <c r="G2534" s="20" t="s">
        <v>5082</v>
      </c>
      <c r="H2534" s="19" t="str">
        <f>HYPERLINK("https://elefant.by/catalogue/175928881","Посмотреть на сайте ...")</f>
        <v>Посмотреть на сайте ...</v>
      </c>
    </row>
    <row r="2535" spans="1:8" s="16" customFormat="1" x14ac:dyDescent="0.25">
      <c r="A2535" s="17">
        <v>2525</v>
      </c>
      <c r="B2535" s="17" t="s">
        <v>2881</v>
      </c>
      <c r="C2535" s="17" t="s">
        <v>4044</v>
      </c>
      <c r="D2535" s="18">
        <v>5</v>
      </c>
      <c r="E2535" s="18">
        <v>0.75</v>
      </c>
      <c r="F2535" s="18">
        <v>0.9</v>
      </c>
      <c r="G2535" s="20" t="s">
        <v>5083</v>
      </c>
      <c r="H2535" s="19" t="str">
        <f>HYPERLINK("https://elefant.by/catalogue/654947309","Посмотреть на сайте ...")</f>
        <v>Посмотреть на сайте ...</v>
      </c>
    </row>
    <row r="2536" spans="1:8" s="16" customFormat="1" x14ac:dyDescent="0.25">
      <c r="A2536" s="17">
        <v>2526</v>
      </c>
      <c r="B2536" s="17" t="s">
        <v>2881</v>
      </c>
      <c r="C2536" s="17" t="s">
        <v>2882</v>
      </c>
      <c r="D2536" s="18">
        <v>5</v>
      </c>
      <c r="E2536" s="18">
        <v>1.4</v>
      </c>
      <c r="F2536" s="18">
        <v>1.68</v>
      </c>
      <c r="G2536" s="20" t="s">
        <v>2883</v>
      </c>
      <c r="H2536" s="19" t="str">
        <f>HYPERLINK("https://elefant.by/catalogue/176474906","Посмотреть на сайте ...")</f>
        <v>Посмотреть на сайте ...</v>
      </c>
    </row>
    <row r="2537" spans="1:8" s="16" customFormat="1" x14ac:dyDescent="0.25">
      <c r="A2537" s="17">
        <v>2527</v>
      </c>
      <c r="B2537" s="17" t="s">
        <v>132</v>
      </c>
      <c r="C2537" s="17" t="s">
        <v>4045</v>
      </c>
      <c r="D2537" s="18">
        <v>1</v>
      </c>
      <c r="E2537" s="18">
        <v>16.25</v>
      </c>
      <c r="F2537" s="18">
        <v>19.5</v>
      </c>
      <c r="G2537" s="20"/>
      <c r="H2537" s="19" t="str">
        <f>HYPERLINK("https://elefant.by/catalogue/315400880","Посмотреть на сайте ...")</f>
        <v>Посмотреть на сайте ...</v>
      </c>
    </row>
    <row r="2538" spans="1:8" s="16" customFormat="1" x14ac:dyDescent="0.25">
      <c r="A2538" s="17">
        <v>2528</v>
      </c>
      <c r="B2538" s="17" t="s">
        <v>132</v>
      </c>
      <c r="C2538" s="17" t="s">
        <v>2884</v>
      </c>
      <c r="D2538" s="18">
        <v>1</v>
      </c>
      <c r="E2538" s="18">
        <v>45.5</v>
      </c>
      <c r="F2538" s="18">
        <v>54.6</v>
      </c>
      <c r="G2538" s="20"/>
      <c r="H2538" s="19" t="str">
        <f>HYPERLINK("https://elefant.by/catalogue/568399393","Посмотреть на сайте ...")</f>
        <v>Посмотреть на сайте ...</v>
      </c>
    </row>
    <row r="2539" spans="1:8" s="16" customFormat="1" x14ac:dyDescent="0.25">
      <c r="A2539" s="17">
        <v>2529</v>
      </c>
      <c r="B2539" s="17" t="s">
        <v>132</v>
      </c>
      <c r="C2539" s="17" t="s">
        <v>4046</v>
      </c>
      <c r="D2539" s="18">
        <v>1</v>
      </c>
      <c r="E2539" s="18">
        <v>11.4</v>
      </c>
      <c r="F2539" s="18">
        <v>13.68</v>
      </c>
      <c r="G2539" s="20" t="s">
        <v>5084</v>
      </c>
      <c r="H2539" s="19" t="str">
        <f>HYPERLINK("https://elefant.by/catalogue/175928883","Посмотреть на сайте ...")</f>
        <v>Посмотреть на сайте ...</v>
      </c>
    </row>
    <row r="2540" spans="1:8" s="14" customFormat="1" ht="15.75" x14ac:dyDescent="0.25">
      <c r="G2540" s="15"/>
    </row>
    <row r="2541" spans="1:8" s="14" customFormat="1" ht="15.75" x14ac:dyDescent="0.25">
      <c r="G2541" s="15"/>
    </row>
    <row r="2542" spans="1:8" s="14" customFormat="1" ht="15.75" x14ac:dyDescent="0.25">
      <c r="G2542" s="15"/>
    </row>
    <row r="2543" spans="1:8" s="14" customFormat="1" ht="15.75" x14ac:dyDescent="0.25">
      <c r="G2543" s="15"/>
    </row>
    <row r="2544" spans="1:8" s="14" customFormat="1" ht="15.75" x14ac:dyDescent="0.25">
      <c r="G2544" s="15"/>
    </row>
    <row r="2545" spans="7:7" s="14" customFormat="1" ht="15.75" x14ac:dyDescent="0.25">
      <c r="G2545" s="15"/>
    </row>
    <row r="2546" spans="7:7" s="14" customFormat="1" ht="15.75" x14ac:dyDescent="0.25">
      <c r="G2546" s="15"/>
    </row>
    <row r="2547" spans="7:7" s="14" customFormat="1" ht="15.75" x14ac:dyDescent="0.25">
      <c r="G2547" s="15"/>
    </row>
    <row r="2548" spans="7:7" s="14" customFormat="1" ht="15.75" x14ac:dyDescent="0.25">
      <c r="G2548" s="15"/>
    </row>
    <row r="2549" spans="7:7" s="14" customFormat="1" ht="15.75" x14ac:dyDescent="0.25">
      <c r="G2549" s="15"/>
    </row>
    <row r="2550" spans="7:7" s="14" customFormat="1" ht="15.75" x14ac:dyDescent="0.25">
      <c r="G2550" s="15"/>
    </row>
    <row r="2551" spans="7:7" s="14" customFormat="1" ht="15.75" x14ac:dyDescent="0.25">
      <c r="G2551" s="15"/>
    </row>
    <row r="2552" spans="7:7" s="14" customFormat="1" ht="15.75" x14ac:dyDescent="0.25">
      <c r="G2552" s="15"/>
    </row>
    <row r="2553" spans="7:7" s="14" customFormat="1" ht="15.75" x14ac:dyDescent="0.25">
      <c r="G2553" s="15"/>
    </row>
    <row r="2554" spans="7:7" s="14" customFormat="1" ht="15.75" x14ac:dyDescent="0.25">
      <c r="G2554" s="15"/>
    </row>
    <row r="2555" spans="7:7" s="14" customFormat="1" ht="15.75" x14ac:dyDescent="0.25">
      <c r="G2555" s="15"/>
    </row>
    <row r="2556" spans="7:7" s="14" customFormat="1" ht="15.75" x14ac:dyDescent="0.25">
      <c r="G2556" s="15"/>
    </row>
    <row r="2557" spans="7:7" s="14" customFormat="1" ht="15.75" x14ac:dyDescent="0.25">
      <c r="G2557" s="15"/>
    </row>
    <row r="2558" spans="7:7" s="14" customFormat="1" ht="15.75" x14ac:dyDescent="0.25">
      <c r="G2558" s="15"/>
    </row>
    <row r="2559" spans="7:7" s="14" customFormat="1" ht="15.75" x14ac:dyDescent="0.25">
      <c r="G2559" s="15"/>
    </row>
    <row r="2560" spans="7:7" s="14" customFormat="1" ht="15.75" x14ac:dyDescent="0.25">
      <c r="G2560" s="15"/>
    </row>
    <row r="2561" spans="7:7" s="14" customFormat="1" ht="15.75" x14ac:dyDescent="0.25">
      <c r="G2561" s="15"/>
    </row>
    <row r="2562" spans="7:7" s="14" customFormat="1" ht="15.75" x14ac:dyDescent="0.25">
      <c r="G2562" s="15"/>
    </row>
    <row r="2563" spans="7:7" s="14" customFormat="1" ht="15.75" x14ac:dyDescent="0.25">
      <c r="G2563" s="15"/>
    </row>
    <row r="2564" spans="7:7" s="14" customFormat="1" ht="15.75" x14ac:dyDescent="0.25">
      <c r="G2564" s="15"/>
    </row>
    <row r="2565" spans="7:7" s="14" customFormat="1" ht="15.75" x14ac:dyDescent="0.25">
      <c r="G2565" s="15"/>
    </row>
    <row r="2566" spans="7:7" s="14" customFormat="1" ht="15.75" x14ac:dyDescent="0.25">
      <c r="G2566" s="15"/>
    </row>
    <row r="2567" spans="7:7" s="14" customFormat="1" ht="15.75" x14ac:dyDescent="0.25">
      <c r="G2567" s="15"/>
    </row>
    <row r="2568" spans="7:7" s="14" customFormat="1" ht="15.75" x14ac:dyDescent="0.25">
      <c r="G2568" s="15"/>
    </row>
    <row r="2569" spans="7:7" s="14" customFormat="1" ht="15.75" x14ac:dyDescent="0.25">
      <c r="G2569" s="15"/>
    </row>
    <row r="2570" spans="7:7" s="14" customFormat="1" ht="15.75" x14ac:dyDescent="0.25">
      <c r="G2570" s="15"/>
    </row>
    <row r="2571" spans="7:7" s="14" customFormat="1" ht="15.75" x14ac:dyDescent="0.25">
      <c r="G2571" s="15"/>
    </row>
    <row r="2572" spans="7:7" s="14" customFormat="1" ht="15.75" x14ac:dyDescent="0.25">
      <c r="G2572" s="15"/>
    </row>
    <row r="2573" spans="7:7" s="14" customFormat="1" ht="15.75" x14ac:dyDescent="0.25">
      <c r="G2573" s="15"/>
    </row>
    <row r="2574" spans="7:7" s="14" customFormat="1" ht="15.75" x14ac:dyDescent="0.25">
      <c r="G2574" s="15"/>
    </row>
    <row r="2575" spans="7:7" s="14" customFormat="1" ht="15.75" x14ac:dyDescent="0.25">
      <c r="G2575" s="15"/>
    </row>
    <row r="2576" spans="7:7" s="14" customFormat="1" ht="15.75" x14ac:dyDescent="0.25">
      <c r="G2576" s="15"/>
    </row>
    <row r="2577" spans="7:7" s="14" customFormat="1" ht="15.75" x14ac:dyDescent="0.25">
      <c r="G2577" s="15"/>
    </row>
    <row r="2578" spans="7:7" s="14" customFormat="1" ht="15.75" x14ac:dyDescent="0.25">
      <c r="G2578" s="15"/>
    </row>
    <row r="2579" spans="7:7" s="14" customFormat="1" ht="15.75" x14ac:dyDescent="0.25">
      <c r="G2579" s="15"/>
    </row>
    <row r="2580" spans="7:7" s="14" customFormat="1" ht="15.75" x14ac:dyDescent="0.25">
      <c r="G2580" s="15"/>
    </row>
    <row r="2581" spans="7:7" s="14" customFormat="1" ht="15.75" x14ac:dyDescent="0.25">
      <c r="G2581" s="15"/>
    </row>
    <row r="2582" spans="7:7" s="14" customFormat="1" ht="15.75" x14ac:dyDescent="0.25">
      <c r="G2582" s="15"/>
    </row>
    <row r="2583" spans="7:7" s="14" customFormat="1" ht="15.75" x14ac:dyDescent="0.25">
      <c r="G2583" s="15"/>
    </row>
    <row r="2584" spans="7:7" s="14" customFormat="1" ht="15.75" x14ac:dyDescent="0.25">
      <c r="G2584" s="15"/>
    </row>
    <row r="2585" spans="7:7" s="14" customFormat="1" ht="15.75" x14ac:dyDescent="0.25">
      <c r="G2585" s="15"/>
    </row>
    <row r="2586" spans="7:7" s="14" customFormat="1" ht="15.75" x14ac:dyDescent="0.25">
      <c r="G2586" s="15"/>
    </row>
    <row r="2587" spans="7:7" s="14" customFormat="1" ht="15.75" x14ac:dyDescent="0.25">
      <c r="G2587" s="15"/>
    </row>
    <row r="2588" spans="7:7" s="14" customFormat="1" ht="15.75" x14ac:dyDescent="0.25">
      <c r="G2588" s="15"/>
    </row>
    <row r="2589" spans="7:7" s="14" customFormat="1" ht="15.75" x14ac:dyDescent="0.25">
      <c r="G2589" s="15"/>
    </row>
    <row r="2590" spans="7:7" s="14" customFormat="1" ht="15.75" x14ac:dyDescent="0.25">
      <c r="G2590" s="15"/>
    </row>
    <row r="2591" spans="7:7" s="14" customFormat="1" ht="15.75" x14ac:dyDescent="0.25">
      <c r="G2591" s="15"/>
    </row>
    <row r="2592" spans="7:7" s="14" customFormat="1" ht="15.75" x14ac:dyDescent="0.25">
      <c r="G2592" s="15"/>
    </row>
    <row r="2593" spans="7:7" s="14" customFormat="1" ht="15.75" x14ac:dyDescent="0.25">
      <c r="G2593" s="15"/>
    </row>
    <row r="2594" spans="7:7" s="14" customFormat="1" ht="15.75" x14ac:dyDescent="0.25">
      <c r="G2594" s="15"/>
    </row>
    <row r="2595" spans="7:7" s="14" customFormat="1" ht="15.75" x14ac:dyDescent="0.25">
      <c r="G2595" s="15"/>
    </row>
    <row r="2596" spans="7:7" s="14" customFormat="1" ht="15.75" x14ac:dyDescent="0.25">
      <c r="G2596" s="15"/>
    </row>
    <row r="2597" spans="7:7" s="14" customFormat="1" ht="15.75" x14ac:dyDescent="0.25">
      <c r="G2597" s="15"/>
    </row>
    <row r="2598" spans="7:7" s="14" customFormat="1" ht="15.75" x14ac:dyDescent="0.25">
      <c r="G2598" s="15"/>
    </row>
    <row r="2599" spans="7:7" s="14" customFormat="1" ht="15.75" x14ac:dyDescent="0.25">
      <c r="G2599" s="15"/>
    </row>
    <row r="2600" spans="7:7" s="14" customFormat="1" ht="15.75" x14ac:dyDescent="0.25">
      <c r="G2600" s="15"/>
    </row>
    <row r="2601" spans="7:7" s="14" customFormat="1" ht="15.75" x14ac:dyDescent="0.25">
      <c r="G2601" s="15"/>
    </row>
    <row r="2602" spans="7:7" s="14" customFormat="1" ht="15.75" x14ac:dyDescent="0.25">
      <c r="G2602" s="15"/>
    </row>
    <row r="2603" spans="7:7" s="14" customFormat="1" ht="15.75" x14ac:dyDescent="0.25">
      <c r="G2603" s="15"/>
    </row>
    <row r="2604" spans="7:7" s="14" customFormat="1" ht="15.75" x14ac:dyDescent="0.25">
      <c r="G2604" s="15"/>
    </row>
    <row r="2605" spans="7:7" s="14" customFormat="1" ht="15.75" x14ac:dyDescent="0.25">
      <c r="G2605" s="15"/>
    </row>
    <row r="2606" spans="7:7" s="14" customFormat="1" ht="15.75" x14ac:dyDescent="0.25">
      <c r="G2606" s="15"/>
    </row>
    <row r="2607" spans="7:7" s="14" customFormat="1" ht="15.75" x14ac:dyDescent="0.25">
      <c r="G2607" s="15"/>
    </row>
    <row r="2608" spans="7:7" s="14" customFormat="1" ht="15.75" x14ac:dyDescent="0.25">
      <c r="G2608" s="15"/>
    </row>
    <row r="2609" spans="7:7" s="14" customFormat="1" ht="15.75" x14ac:dyDescent="0.25">
      <c r="G2609" s="15"/>
    </row>
    <row r="2610" spans="7:7" s="14" customFormat="1" ht="15.75" x14ac:dyDescent="0.25">
      <c r="G2610" s="15"/>
    </row>
    <row r="2611" spans="7:7" s="14" customFormat="1" ht="15.75" x14ac:dyDescent="0.25">
      <c r="G2611" s="15"/>
    </row>
    <row r="2612" spans="7:7" s="14" customFormat="1" ht="15.75" x14ac:dyDescent="0.25">
      <c r="G2612" s="15"/>
    </row>
    <row r="2613" spans="7:7" s="14" customFormat="1" ht="15.75" x14ac:dyDescent="0.25">
      <c r="G2613" s="15"/>
    </row>
    <row r="2614" spans="7:7" s="14" customFormat="1" ht="15.75" x14ac:dyDescent="0.25">
      <c r="G2614" s="15"/>
    </row>
    <row r="2615" spans="7:7" s="14" customFormat="1" ht="15.75" x14ac:dyDescent="0.25">
      <c r="G2615" s="15"/>
    </row>
    <row r="2616" spans="7:7" s="14" customFormat="1" ht="15.75" x14ac:dyDescent="0.25">
      <c r="G2616" s="15"/>
    </row>
    <row r="2617" spans="7:7" s="14" customFormat="1" ht="15.75" x14ac:dyDescent="0.25">
      <c r="G2617" s="15"/>
    </row>
    <row r="2618" spans="7:7" s="14" customFormat="1" ht="15.75" x14ac:dyDescent="0.25">
      <c r="G2618" s="15"/>
    </row>
    <row r="2619" spans="7:7" s="14" customFormat="1" ht="15.75" x14ac:dyDescent="0.25">
      <c r="G2619" s="15"/>
    </row>
    <row r="2620" spans="7:7" s="14" customFormat="1" ht="15.75" x14ac:dyDescent="0.25">
      <c r="G2620" s="15"/>
    </row>
    <row r="2621" spans="7:7" s="14" customFormat="1" ht="15.75" x14ac:dyDescent="0.25">
      <c r="G2621" s="15"/>
    </row>
    <row r="2622" spans="7:7" s="14" customFormat="1" ht="15.75" x14ac:dyDescent="0.25">
      <c r="G2622" s="15"/>
    </row>
    <row r="2623" spans="7:7" s="14" customFormat="1" ht="15.75" x14ac:dyDescent="0.25">
      <c r="G2623" s="15"/>
    </row>
    <row r="2624" spans="7:7" s="14" customFormat="1" ht="15.75" x14ac:dyDescent="0.25">
      <c r="G2624" s="15"/>
    </row>
    <row r="2625" spans="7:7" s="14" customFormat="1" ht="15.75" x14ac:dyDescent="0.25">
      <c r="G2625" s="15"/>
    </row>
    <row r="2626" spans="7:7" s="14" customFormat="1" ht="15.75" x14ac:dyDescent="0.25">
      <c r="G2626" s="15"/>
    </row>
    <row r="2627" spans="7:7" s="14" customFormat="1" ht="15.75" x14ac:dyDescent="0.25">
      <c r="G2627" s="15"/>
    </row>
    <row r="2628" spans="7:7" s="14" customFormat="1" ht="15.75" x14ac:dyDescent="0.25">
      <c r="G2628" s="15"/>
    </row>
    <row r="2629" spans="7:7" s="14" customFormat="1" ht="15.75" x14ac:dyDescent="0.25">
      <c r="G2629" s="15"/>
    </row>
    <row r="2630" spans="7:7" s="14" customFormat="1" ht="15.75" x14ac:dyDescent="0.25">
      <c r="G2630" s="15"/>
    </row>
    <row r="2631" spans="7:7" s="14" customFormat="1" ht="15.75" x14ac:dyDescent="0.25">
      <c r="G2631" s="15"/>
    </row>
    <row r="2632" spans="7:7" s="14" customFormat="1" ht="15.75" x14ac:dyDescent="0.25">
      <c r="G2632" s="15"/>
    </row>
    <row r="2633" spans="7:7" s="14" customFormat="1" ht="15.75" x14ac:dyDescent="0.25">
      <c r="G2633" s="15"/>
    </row>
    <row r="2634" spans="7:7" s="14" customFormat="1" ht="15.75" x14ac:dyDescent="0.25">
      <c r="G2634" s="15"/>
    </row>
    <row r="2635" spans="7:7" s="14" customFormat="1" ht="15.75" x14ac:dyDescent="0.25">
      <c r="G2635" s="15"/>
    </row>
    <row r="2636" spans="7:7" s="14" customFormat="1" ht="15.75" x14ac:dyDescent="0.25">
      <c r="G2636" s="15"/>
    </row>
    <row r="2637" spans="7:7" s="14" customFormat="1" ht="15.75" x14ac:dyDescent="0.25">
      <c r="G2637" s="15"/>
    </row>
    <row r="2638" spans="7:7" s="14" customFormat="1" ht="15.75" x14ac:dyDescent="0.25">
      <c r="G2638" s="15"/>
    </row>
    <row r="2639" spans="7:7" s="14" customFormat="1" ht="15.75" x14ac:dyDescent="0.25">
      <c r="G2639" s="15"/>
    </row>
    <row r="2640" spans="7:7" s="14" customFormat="1" ht="15.75" x14ac:dyDescent="0.25">
      <c r="G2640" s="15"/>
    </row>
    <row r="2641" spans="7:7" s="14" customFormat="1" ht="15.75" x14ac:dyDescent="0.25">
      <c r="G2641" s="15"/>
    </row>
    <row r="2642" spans="7:7" s="14" customFormat="1" ht="15.75" x14ac:dyDescent="0.25">
      <c r="G2642" s="15"/>
    </row>
    <row r="2643" spans="7:7" s="14" customFormat="1" ht="15.75" x14ac:dyDescent="0.25">
      <c r="G2643" s="15"/>
    </row>
    <row r="2644" spans="7:7" s="14" customFormat="1" ht="15.75" x14ac:dyDescent="0.25">
      <c r="G2644" s="15"/>
    </row>
    <row r="2645" spans="7:7" s="14" customFormat="1" ht="15.75" x14ac:dyDescent="0.25">
      <c r="G2645" s="15"/>
    </row>
    <row r="2646" spans="7:7" s="14" customFormat="1" ht="15.75" x14ac:dyDescent="0.25">
      <c r="G2646" s="15"/>
    </row>
    <row r="2647" spans="7:7" s="14" customFormat="1" ht="15.75" x14ac:dyDescent="0.25">
      <c r="G2647" s="15"/>
    </row>
    <row r="2648" spans="7:7" s="14" customFormat="1" ht="15.75" x14ac:dyDescent="0.25">
      <c r="G2648" s="15"/>
    </row>
    <row r="2649" spans="7:7" s="14" customFormat="1" ht="15.75" x14ac:dyDescent="0.25">
      <c r="G2649" s="15"/>
    </row>
    <row r="2650" spans="7:7" s="14" customFormat="1" ht="15.75" x14ac:dyDescent="0.25">
      <c r="G2650" s="15"/>
    </row>
    <row r="2651" spans="7:7" s="14" customFormat="1" ht="15.75" x14ac:dyDescent="0.25">
      <c r="G2651" s="15"/>
    </row>
    <row r="2652" spans="7:7" s="14" customFormat="1" ht="15.75" x14ac:dyDescent="0.25">
      <c r="G2652" s="15"/>
    </row>
    <row r="2653" spans="7:7" s="14" customFormat="1" ht="15.75" x14ac:dyDescent="0.25">
      <c r="G2653" s="15"/>
    </row>
    <row r="2654" spans="7:7" s="14" customFormat="1" ht="15.75" x14ac:dyDescent="0.25">
      <c r="G2654" s="15"/>
    </row>
    <row r="2655" spans="7:7" s="14" customFormat="1" ht="15.75" x14ac:dyDescent="0.25">
      <c r="G2655" s="15"/>
    </row>
    <row r="2656" spans="7:7" s="14" customFormat="1" ht="15.75" x14ac:dyDescent="0.25">
      <c r="G2656" s="15"/>
    </row>
    <row r="2657" spans="7:7" s="14" customFormat="1" ht="15.75" x14ac:dyDescent="0.25">
      <c r="G2657" s="15"/>
    </row>
    <row r="2658" spans="7:7" s="14" customFormat="1" ht="15.75" x14ac:dyDescent="0.25">
      <c r="G2658" s="15"/>
    </row>
    <row r="2659" spans="7:7" s="14" customFormat="1" ht="15.75" x14ac:dyDescent="0.25">
      <c r="G2659" s="15"/>
    </row>
    <row r="2660" spans="7:7" s="14" customFormat="1" ht="15.75" x14ac:dyDescent="0.25">
      <c r="G2660" s="15"/>
    </row>
    <row r="2661" spans="7:7" s="14" customFormat="1" ht="15.75" x14ac:dyDescent="0.25">
      <c r="G2661" s="15"/>
    </row>
    <row r="2662" spans="7:7" s="14" customFormat="1" ht="15.75" x14ac:dyDescent="0.25">
      <c r="G2662" s="15"/>
    </row>
    <row r="2663" spans="7:7" s="14" customFormat="1" ht="15.75" x14ac:dyDescent="0.25">
      <c r="G2663" s="15"/>
    </row>
    <row r="2664" spans="7:7" s="14" customFormat="1" ht="15.75" x14ac:dyDescent="0.25">
      <c r="G2664" s="15"/>
    </row>
    <row r="2665" spans="7:7" s="14" customFormat="1" ht="15.75" x14ac:dyDescent="0.25">
      <c r="G2665" s="15"/>
    </row>
    <row r="2666" spans="7:7" s="14" customFormat="1" ht="15.75" x14ac:dyDescent="0.25">
      <c r="G2666" s="15"/>
    </row>
    <row r="2667" spans="7:7" s="14" customFormat="1" ht="15.75" x14ac:dyDescent="0.25">
      <c r="G2667" s="15"/>
    </row>
    <row r="2668" spans="7:7" s="14" customFormat="1" ht="15.75" x14ac:dyDescent="0.25">
      <c r="G2668" s="15"/>
    </row>
    <row r="2669" spans="7:7" s="14" customFormat="1" ht="15.75" x14ac:dyDescent="0.25">
      <c r="G2669" s="15"/>
    </row>
    <row r="2670" spans="7:7" s="14" customFormat="1" ht="15.75" x14ac:dyDescent="0.25">
      <c r="G2670" s="15"/>
    </row>
    <row r="2671" spans="7:7" s="14" customFormat="1" ht="15.75" x14ac:dyDescent="0.25">
      <c r="G2671" s="15"/>
    </row>
    <row r="2672" spans="7:7" s="14" customFormat="1" ht="15.75" x14ac:dyDescent="0.25">
      <c r="G2672" s="15"/>
    </row>
    <row r="2673" spans="7:7" s="14" customFormat="1" ht="15.75" x14ac:dyDescent="0.25">
      <c r="G2673" s="15"/>
    </row>
    <row r="2674" spans="7:7" s="14" customFormat="1" ht="15.75" x14ac:dyDescent="0.25">
      <c r="G2674" s="15"/>
    </row>
    <row r="2675" spans="7:7" s="14" customFormat="1" ht="15.75" x14ac:dyDescent="0.25">
      <c r="G2675" s="15"/>
    </row>
    <row r="2676" spans="7:7" s="14" customFormat="1" ht="15.75" x14ac:dyDescent="0.25">
      <c r="G2676" s="15"/>
    </row>
    <row r="2677" spans="7:7" s="14" customFormat="1" ht="15.75" x14ac:dyDescent="0.25">
      <c r="G2677" s="15"/>
    </row>
    <row r="2678" spans="7:7" s="14" customFormat="1" ht="15.75" x14ac:dyDescent="0.25">
      <c r="G2678" s="15"/>
    </row>
    <row r="2679" spans="7:7" s="14" customFormat="1" ht="15.75" x14ac:dyDescent="0.25">
      <c r="G2679" s="15"/>
    </row>
    <row r="2680" spans="7:7" s="14" customFormat="1" ht="15.75" x14ac:dyDescent="0.25">
      <c r="G2680" s="15"/>
    </row>
    <row r="2681" spans="7:7" s="14" customFormat="1" ht="15.75" x14ac:dyDescent="0.25">
      <c r="G2681" s="15"/>
    </row>
    <row r="2682" spans="7:7" s="14" customFormat="1" ht="15.75" x14ac:dyDescent="0.25">
      <c r="G2682" s="15"/>
    </row>
    <row r="2683" spans="7:7" s="14" customFormat="1" ht="15.75" x14ac:dyDescent="0.25">
      <c r="G2683" s="15"/>
    </row>
    <row r="2684" spans="7:7" s="14" customFormat="1" ht="15.75" x14ac:dyDescent="0.25">
      <c r="G2684" s="15"/>
    </row>
    <row r="2685" spans="7:7" s="14" customFormat="1" ht="15.75" x14ac:dyDescent="0.25">
      <c r="G2685" s="15"/>
    </row>
    <row r="2686" spans="7:7" s="14" customFormat="1" ht="15.75" x14ac:dyDescent="0.25">
      <c r="G2686" s="15"/>
    </row>
    <row r="2687" spans="7:7" s="14" customFormat="1" ht="15.75" x14ac:dyDescent="0.25">
      <c r="G2687" s="15"/>
    </row>
    <row r="2688" spans="7:7" s="14" customFormat="1" ht="15.75" x14ac:dyDescent="0.25">
      <c r="G2688" s="15"/>
    </row>
    <row r="2689" spans="7:7" s="14" customFormat="1" ht="15.75" x14ac:dyDescent="0.25">
      <c r="G2689" s="15"/>
    </row>
    <row r="2690" spans="7:7" s="14" customFormat="1" ht="15.75" x14ac:dyDescent="0.25">
      <c r="G2690" s="15"/>
    </row>
    <row r="2691" spans="7:7" s="14" customFormat="1" ht="15.75" x14ac:dyDescent="0.25">
      <c r="G2691" s="15"/>
    </row>
    <row r="2692" spans="7:7" s="14" customFormat="1" ht="15.75" x14ac:dyDescent="0.25">
      <c r="G2692" s="15"/>
    </row>
    <row r="2693" spans="7:7" s="14" customFormat="1" ht="15.75" x14ac:dyDescent="0.25">
      <c r="G2693" s="15"/>
    </row>
    <row r="2694" spans="7:7" s="14" customFormat="1" ht="15.75" x14ac:dyDescent="0.25">
      <c r="G2694" s="15"/>
    </row>
    <row r="2695" spans="7:7" s="14" customFormat="1" ht="15.75" x14ac:dyDescent="0.25">
      <c r="G2695" s="15"/>
    </row>
    <row r="2696" spans="7:7" s="14" customFormat="1" ht="15.75" x14ac:dyDescent="0.25">
      <c r="G2696" s="15"/>
    </row>
    <row r="2697" spans="7:7" s="14" customFormat="1" ht="15.75" x14ac:dyDescent="0.25">
      <c r="G2697" s="15"/>
    </row>
    <row r="2698" spans="7:7" s="14" customFormat="1" ht="15.75" x14ac:dyDescent="0.25">
      <c r="G2698" s="15"/>
    </row>
    <row r="2699" spans="7:7" s="14" customFormat="1" ht="15.75" x14ac:dyDescent="0.25">
      <c r="G2699" s="15"/>
    </row>
    <row r="2700" spans="7:7" s="14" customFormat="1" ht="15.75" x14ac:dyDescent="0.25">
      <c r="G2700" s="15"/>
    </row>
    <row r="2701" spans="7:7" s="14" customFormat="1" ht="15.75" x14ac:dyDescent="0.25">
      <c r="G2701" s="15"/>
    </row>
    <row r="2702" spans="7:7" s="14" customFormat="1" ht="15.75" x14ac:dyDescent="0.25">
      <c r="G2702" s="15"/>
    </row>
    <row r="2703" spans="7:7" s="14" customFormat="1" ht="15.75" x14ac:dyDescent="0.25">
      <c r="G2703" s="15"/>
    </row>
    <row r="2704" spans="7:7" s="14" customFormat="1" ht="15.75" x14ac:dyDescent="0.25">
      <c r="G2704" s="15"/>
    </row>
    <row r="2705" spans="7:7" s="14" customFormat="1" ht="15.75" x14ac:dyDescent="0.25">
      <c r="G2705" s="15"/>
    </row>
    <row r="2706" spans="7:7" s="14" customFormat="1" ht="15.75" x14ac:dyDescent="0.25">
      <c r="G2706" s="15"/>
    </row>
    <row r="2707" spans="7:7" s="14" customFormat="1" ht="15.75" x14ac:dyDescent="0.25">
      <c r="G2707" s="15"/>
    </row>
    <row r="2708" spans="7:7" s="14" customFormat="1" ht="15.75" x14ac:dyDescent="0.25">
      <c r="G2708" s="15"/>
    </row>
    <row r="2709" spans="7:7" s="14" customFormat="1" ht="15.75" x14ac:dyDescent="0.25">
      <c r="G2709" s="15"/>
    </row>
    <row r="2710" spans="7:7" s="14" customFormat="1" ht="15.75" x14ac:dyDescent="0.25">
      <c r="G2710" s="15"/>
    </row>
    <row r="2711" spans="7:7" s="14" customFormat="1" ht="15.75" x14ac:dyDescent="0.25">
      <c r="G2711" s="15"/>
    </row>
    <row r="2712" spans="7:7" s="14" customFormat="1" ht="15.75" x14ac:dyDescent="0.25">
      <c r="G2712" s="15"/>
    </row>
    <row r="2713" spans="7:7" s="14" customFormat="1" ht="15.75" x14ac:dyDescent="0.25">
      <c r="G2713" s="15"/>
    </row>
    <row r="2714" spans="7:7" s="14" customFormat="1" ht="15.75" x14ac:dyDescent="0.25">
      <c r="G2714" s="15"/>
    </row>
    <row r="2715" spans="7:7" s="14" customFormat="1" ht="15.75" x14ac:dyDescent="0.25">
      <c r="G2715" s="15"/>
    </row>
    <row r="2716" spans="7:7" s="14" customFormat="1" ht="15.75" x14ac:dyDescent="0.25">
      <c r="G2716" s="15"/>
    </row>
    <row r="2717" spans="7:7" s="14" customFormat="1" ht="15.75" x14ac:dyDescent="0.25">
      <c r="G2717" s="15"/>
    </row>
    <row r="2718" spans="7:7" s="14" customFormat="1" ht="15.75" x14ac:dyDescent="0.25">
      <c r="G2718" s="15"/>
    </row>
    <row r="2719" spans="7:7" s="14" customFormat="1" ht="15.75" x14ac:dyDescent="0.25">
      <c r="G2719" s="15"/>
    </row>
    <row r="2720" spans="7:7" s="14" customFormat="1" ht="15.75" x14ac:dyDescent="0.25">
      <c r="G2720" s="15"/>
    </row>
    <row r="2721" spans="7:7" s="14" customFormat="1" ht="15.75" x14ac:dyDescent="0.25">
      <c r="G2721" s="15"/>
    </row>
    <row r="2722" spans="7:7" s="14" customFormat="1" ht="15.75" x14ac:dyDescent="0.25">
      <c r="G2722" s="15"/>
    </row>
    <row r="2723" spans="7:7" s="14" customFormat="1" ht="15.75" x14ac:dyDescent="0.25">
      <c r="G2723" s="15"/>
    </row>
    <row r="2724" spans="7:7" s="14" customFormat="1" ht="15.75" x14ac:dyDescent="0.25">
      <c r="G2724" s="15"/>
    </row>
    <row r="2725" spans="7:7" s="14" customFormat="1" ht="15.75" x14ac:dyDescent="0.25">
      <c r="G2725" s="15"/>
    </row>
    <row r="2726" spans="7:7" s="14" customFormat="1" ht="15.75" x14ac:dyDescent="0.25">
      <c r="G2726" s="15"/>
    </row>
    <row r="2727" spans="7:7" s="14" customFormat="1" ht="15.75" x14ac:dyDescent="0.25">
      <c r="G2727" s="15"/>
    </row>
    <row r="2728" spans="7:7" s="14" customFormat="1" ht="15.75" x14ac:dyDescent="0.25">
      <c r="G2728" s="15"/>
    </row>
    <row r="2729" spans="7:7" s="14" customFormat="1" ht="15.75" x14ac:dyDescent="0.25">
      <c r="G2729" s="15"/>
    </row>
    <row r="2730" spans="7:7" s="14" customFormat="1" ht="15.75" x14ac:dyDescent="0.25">
      <c r="G2730" s="15"/>
    </row>
    <row r="2731" spans="7:7" s="14" customFormat="1" ht="15.75" x14ac:dyDescent="0.25">
      <c r="G2731" s="15"/>
    </row>
    <row r="2732" spans="7:7" s="14" customFormat="1" ht="15.75" x14ac:dyDescent="0.25">
      <c r="G2732" s="15"/>
    </row>
    <row r="2733" spans="7:7" s="14" customFormat="1" ht="15.75" x14ac:dyDescent="0.25">
      <c r="G2733" s="15"/>
    </row>
    <row r="2734" spans="7:7" s="14" customFormat="1" ht="15.75" x14ac:dyDescent="0.25">
      <c r="G2734" s="15"/>
    </row>
    <row r="2735" spans="7:7" s="14" customFormat="1" ht="15.75" x14ac:dyDescent="0.25">
      <c r="G2735" s="15"/>
    </row>
    <row r="2736" spans="7:7" s="14" customFormat="1" ht="15.75" x14ac:dyDescent="0.25">
      <c r="G2736" s="15"/>
    </row>
    <row r="2737" spans="7:7" s="14" customFormat="1" ht="15.75" x14ac:dyDescent="0.25">
      <c r="G2737" s="15"/>
    </row>
    <row r="2738" spans="7:7" s="14" customFormat="1" ht="15.75" x14ac:dyDescent="0.25">
      <c r="G2738" s="15"/>
    </row>
    <row r="2739" spans="7:7" s="14" customFormat="1" ht="15.75" x14ac:dyDescent="0.25">
      <c r="G2739" s="15"/>
    </row>
    <row r="2740" spans="7:7" s="14" customFormat="1" ht="15.75" x14ac:dyDescent="0.25">
      <c r="G2740" s="15"/>
    </row>
    <row r="2741" spans="7:7" s="14" customFormat="1" ht="15.75" x14ac:dyDescent="0.25">
      <c r="G2741" s="15"/>
    </row>
    <row r="2742" spans="7:7" s="14" customFormat="1" ht="15.75" x14ac:dyDescent="0.25">
      <c r="G2742" s="15"/>
    </row>
    <row r="2743" spans="7:7" s="14" customFormat="1" ht="15.75" x14ac:dyDescent="0.25">
      <c r="G2743" s="15"/>
    </row>
    <row r="2744" spans="7:7" s="14" customFormat="1" ht="15.75" x14ac:dyDescent="0.25">
      <c r="G2744" s="15"/>
    </row>
    <row r="2745" spans="7:7" s="14" customFormat="1" ht="15.75" x14ac:dyDescent="0.25">
      <c r="G2745" s="15"/>
    </row>
    <row r="2746" spans="7:7" s="14" customFormat="1" ht="15.75" x14ac:dyDescent="0.25">
      <c r="G2746" s="15"/>
    </row>
    <row r="2747" spans="7:7" s="14" customFormat="1" ht="15.75" x14ac:dyDescent="0.25">
      <c r="G2747" s="15"/>
    </row>
    <row r="2748" spans="7:7" s="14" customFormat="1" ht="15.75" x14ac:dyDescent="0.25">
      <c r="G2748" s="15"/>
    </row>
    <row r="2749" spans="7:7" s="14" customFormat="1" ht="15.75" x14ac:dyDescent="0.25">
      <c r="G2749" s="15"/>
    </row>
    <row r="2750" spans="7:7" s="14" customFormat="1" ht="15.75" x14ac:dyDescent="0.25">
      <c r="G2750" s="15"/>
    </row>
    <row r="2751" spans="7:7" s="14" customFormat="1" ht="15.75" x14ac:dyDescent="0.25">
      <c r="G2751" s="15"/>
    </row>
    <row r="2752" spans="7:7" s="14" customFormat="1" ht="15.75" x14ac:dyDescent="0.25">
      <c r="G2752" s="15"/>
    </row>
    <row r="2753" spans="7:7" s="14" customFormat="1" ht="15.75" x14ac:dyDescent="0.25">
      <c r="G2753" s="15"/>
    </row>
    <row r="2754" spans="7:7" s="14" customFormat="1" ht="15.75" x14ac:dyDescent="0.25">
      <c r="G2754" s="15"/>
    </row>
    <row r="2755" spans="7:7" s="14" customFormat="1" ht="15.75" x14ac:dyDescent="0.25">
      <c r="G2755" s="15"/>
    </row>
    <row r="2756" spans="7:7" s="14" customFormat="1" ht="15.75" x14ac:dyDescent="0.25">
      <c r="G2756" s="15"/>
    </row>
    <row r="2757" spans="7:7" s="14" customFormat="1" ht="15.75" x14ac:dyDescent="0.25">
      <c r="G2757" s="15"/>
    </row>
    <row r="2758" spans="7:7" s="14" customFormat="1" ht="15.75" x14ac:dyDescent="0.25">
      <c r="G2758" s="15"/>
    </row>
    <row r="2759" spans="7:7" s="14" customFormat="1" ht="15.75" x14ac:dyDescent="0.25">
      <c r="G2759" s="15"/>
    </row>
    <row r="2760" spans="7:7" s="14" customFormat="1" ht="15.75" x14ac:dyDescent="0.25">
      <c r="G2760" s="15"/>
    </row>
    <row r="2761" spans="7:7" s="14" customFormat="1" ht="15.75" x14ac:dyDescent="0.25">
      <c r="G2761" s="15"/>
    </row>
    <row r="2762" spans="7:7" s="14" customFormat="1" ht="15.75" x14ac:dyDescent="0.25">
      <c r="G2762" s="15"/>
    </row>
    <row r="2763" spans="7:7" s="14" customFormat="1" ht="15.75" x14ac:dyDescent="0.25">
      <c r="G2763" s="15"/>
    </row>
    <row r="2764" spans="7:7" s="14" customFormat="1" ht="15.75" x14ac:dyDescent="0.25">
      <c r="G2764" s="15"/>
    </row>
    <row r="2765" spans="7:7" s="14" customFormat="1" ht="15.75" x14ac:dyDescent="0.25">
      <c r="G2765" s="15"/>
    </row>
    <row r="2766" spans="7:7" s="14" customFormat="1" ht="15.75" x14ac:dyDescent="0.25">
      <c r="G2766" s="15"/>
    </row>
    <row r="2767" spans="7:7" s="14" customFormat="1" ht="15.75" x14ac:dyDescent="0.25">
      <c r="G2767" s="15"/>
    </row>
    <row r="2768" spans="7:7" s="14" customFormat="1" ht="15.75" x14ac:dyDescent="0.25">
      <c r="G2768" s="15"/>
    </row>
    <row r="2769" spans="7:7" s="14" customFormat="1" ht="15.75" x14ac:dyDescent="0.25">
      <c r="G2769" s="15"/>
    </row>
    <row r="2770" spans="7:7" s="14" customFormat="1" ht="15.75" x14ac:dyDescent="0.25">
      <c r="G2770" s="15"/>
    </row>
    <row r="2771" spans="7:7" s="14" customFormat="1" ht="15.75" x14ac:dyDescent="0.25">
      <c r="G2771" s="15"/>
    </row>
    <row r="2772" spans="7:7" s="14" customFormat="1" ht="15.75" x14ac:dyDescent="0.25">
      <c r="G2772" s="15"/>
    </row>
    <row r="2773" spans="7:7" s="14" customFormat="1" ht="15.75" x14ac:dyDescent="0.25">
      <c r="G2773" s="15"/>
    </row>
    <row r="2774" spans="7:7" s="14" customFormat="1" ht="15.75" x14ac:dyDescent="0.25">
      <c r="G2774" s="15"/>
    </row>
    <row r="2775" spans="7:7" s="14" customFormat="1" ht="15.75" x14ac:dyDescent="0.25">
      <c r="G2775" s="15"/>
    </row>
    <row r="2776" spans="7:7" s="14" customFormat="1" ht="15.75" x14ac:dyDescent="0.25">
      <c r="G2776" s="15"/>
    </row>
    <row r="2777" spans="7:7" s="14" customFormat="1" ht="15.75" x14ac:dyDescent="0.25">
      <c r="G2777" s="15"/>
    </row>
    <row r="2778" spans="7:7" s="14" customFormat="1" ht="15.75" x14ac:dyDescent="0.25">
      <c r="G2778" s="15"/>
    </row>
    <row r="2779" spans="7:7" s="14" customFormat="1" ht="15.75" x14ac:dyDescent="0.25">
      <c r="G2779" s="15"/>
    </row>
    <row r="2780" spans="7:7" s="14" customFormat="1" ht="15.75" x14ac:dyDescent="0.25">
      <c r="G2780" s="15"/>
    </row>
    <row r="2781" spans="7:7" s="14" customFormat="1" ht="15.75" x14ac:dyDescent="0.25">
      <c r="G2781" s="15"/>
    </row>
    <row r="2782" spans="7:7" s="14" customFormat="1" ht="15.75" x14ac:dyDescent="0.25">
      <c r="G2782" s="15"/>
    </row>
    <row r="2783" spans="7:7" s="14" customFormat="1" ht="15.75" x14ac:dyDescent="0.25">
      <c r="G2783" s="15"/>
    </row>
    <row r="2784" spans="7:7" s="14" customFormat="1" ht="15.75" x14ac:dyDescent="0.25">
      <c r="G2784" s="15"/>
    </row>
    <row r="2785" spans="7:7" s="14" customFormat="1" ht="15.75" x14ac:dyDescent="0.25">
      <c r="G2785" s="15"/>
    </row>
    <row r="2786" spans="7:7" s="14" customFormat="1" ht="15.75" x14ac:dyDescent="0.25">
      <c r="G2786" s="15"/>
    </row>
    <row r="2787" spans="7:7" s="14" customFormat="1" ht="15.75" x14ac:dyDescent="0.25">
      <c r="G2787" s="15"/>
    </row>
    <row r="2788" spans="7:7" s="14" customFormat="1" ht="15.75" x14ac:dyDescent="0.25">
      <c r="G2788" s="15"/>
    </row>
    <row r="2789" spans="7:7" s="14" customFormat="1" ht="15.75" x14ac:dyDescent="0.25">
      <c r="G2789" s="15"/>
    </row>
    <row r="2790" spans="7:7" s="14" customFormat="1" ht="15.75" x14ac:dyDescent="0.25">
      <c r="G2790" s="15"/>
    </row>
    <row r="2791" spans="7:7" s="14" customFormat="1" ht="15.75" x14ac:dyDescent="0.25">
      <c r="G2791" s="15"/>
    </row>
    <row r="2792" spans="7:7" s="14" customFormat="1" ht="15.75" x14ac:dyDescent="0.25">
      <c r="G2792" s="15"/>
    </row>
    <row r="2793" spans="7:7" s="14" customFormat="1" ht="15.75" x14ac:dyDescent="0.25">
      <c r="G2793" s="15"/>
    </row>
    <row r="2794" spans="7:7" s="14" customFormat="1" ht="15.75" x14ac:dyDescent="0.25">
      <c r="G2794" s="15"/>
    </row>
    <row r="2795" spans="7:7" s="14" customFormat="1" ht="15.75" x14ac:dyDescent="0.25">
      <c r="G2795" s="15"/>
    </row>
    <row r="2796" spans="7:7" s="14" customFormat="1" ht="15.75" x14ac:dyDescent="0.25">
      <c r="G2796" s="15"/>
    </row>
    <row r="2797" spans="7:7" s="14" customFormat="1" ht="15.75" x14ac:dyDescent="0.25">
      <c r="G2797" s="15"/>
    </row>
    <row r="2798" spans="7:7" s="14" customFormat="1" ht="15.75" x14ac:dyDescent="0.25">
      <c r="G2798" s="15"/>
    </row>
    <row r="2799" spans="7:7" s="14" customFormat="1" ht="15.75" x14ac:dyDescent="0.25">
      <c r="G2799" s="15"/>
    </row>
    <row r="2800" spans="7:7" s="14" customFormat="1" ht="15.75" x14ac:dyDescent="0.25">
      <c r="G2800" s="15"/>
    </row>
    <row r="2801" spans="7:7" s="14" customFormat="1" ht="15.75" x14ac:dyDescent="0.25">
      <c r="G2801" s="15"/>
    </row>
    <row r="2802" spans="7:7" s="14" customFormat="1" ht="15.75" x14ac:dyDescent="0.25">
      <c r="G2802" s="15"/>
    </row>
    <row r="2803" spans="7:7" s="14" customFormat="1" ht="15.75" x14ac:dyDescent="0.25">
      <c r="G2803" s="15"/>
    </row>
    <row r="2804" spans="7:7" s="14" customFormat="1" ht="15.75" x14ac:dyDescent="0.25">
      <c r="G2804" s="15"/>
    </row>
    <row r="2805" spans="7:7" s="14" customFormat="1" ht="15.75" x14ac:dyDescent="0.25">
      <c r="G2805" s="15"/>
    </row>
    <row r="2806" spans="7:7" s="14" customFormat="1" ht="15.75" x14ac:dyDescent="0.25">
      <c r="G2806" s="15"/>
    </row>
    <row r="2807" spans="7:7" s="14" customFormat="1" ht="15.75" x14ac:dyDescent="0.25">
      <c r="G2807" s="15"/>
    </row>
    <row r="2808" spans="7:7" s="14" customFormat="1" ht="15.75" x14ac:dyDescent="0.25">
      <c r="G2808" s="15"/>
    </row>
    <row r="2809" spans="7:7" s="14" customFormat="1" ht="15.75" x14ac:dyDescent="0.25">
      <c r="G2809" s="15"/>
    </row>
    <row r="2810" spans="7:7" s="14" customFormat="1" ht="15.75" x14ac:dyDescent="0.25">
      <c r="G2810" s="15"/>
    </row>
    <row r="2811" spans="7:7" s="14" customFormat="1" ht="15.75" x14ac:dyDescent="0.25">
      <c r="G2811" s="15"/>
    </row>
    <row r="2812" spans="7:7" s="14" customFormat="1" ht="15.75" x14ac:dyDescent="0.25">
      <c r="G2812" s="15"/>
    </row>
    <row r="2813" spans="7:7" s="14" customFormat="1" ht="15.75" x14ac:dyDescent="0.25">
      <c r="G2813" s="15"/>
    </row>
    <row r="2814" spans="7:7" s="14" customFormat="1" ht="15.75" x14ac:dyDescent="0.25">
      <c r="G2814" s="15"/>
    </row>
    <row r="2815" spans="7:7" s="14" customFormat="1" ht="15.75" x14ac:dyDescent="0.25">
      <c r="G2815" s="15"/>
    </row>
    <row r="2816" spans="7:7" s="14" customFormat="1" ht="15.75" x14ac:dyDescent="0.25">
      <c r="G2816" s="15"/>
    </row>
    <row r="2817" spans="7:7" s="14" customFormat="1" ht="15.75" x14ac:dyDescent="0.25">
      <c r="G2817" s="15"/>
    </row>
    <row r="2818" spans="7:7" s="14" customFormat="1" ht="15.75" x14ac:dyDescent="0.25">
      <c r="G2818" s="15"/>
    </row>
    <row r="2819" spans="7:7" s="14" customFormat="1" ht="15.75" x14ac:dyDescent="0.25">
      <c r="G2819" s="15"/>
    </row>
    <row r="2820" spans="7:7" s="14" customFormat="1" ht="15.75" x14ac:dyDescent="0.25">
      <c r="G2820" s="15"/>
    </row>
    <row r="2821" spans="7:7" s="14" customFormat="1" ht="15.75" x14ac:dyDescent="0.25">
      <c r="G2821" s="15"/>
    </row>
    <row r="2822" spans="7:7" s="14" customFormat="1" ht="15.75" x14ac:dyDescent="0.25">
      <c r="G2822" s="15"/>
    </row>
    <row r="2823" spans="7:7" s="14" customFormat="1" ht="15.75" x14ac:dyDescent="0.25">
      <c r="G2823" s="15"/>
    </row>
    <row r="2824" spans="7:7" s="14" customFormat="1" ht="15.75" x14ac:dyDescent="0.25">
      <c r="G2824" s="15"/>
    </row>
    <row r="2825" spans="7:7" s="14" customFormat="1" ht="15.75" x14ac:dyDescent="0.25">
      <c r="G2825" s="15"/>
    </row>
    <row r="2826" spans="7:7" s="14" customFormat="1" ht="15.75" x14ac:dyDescent="0.25">
      <c r="G2826" s="15"/>
    </row>
    <row r="2827" spans="7:7" s="14" customFormat="1" ht="15.75" x14ac:dyDescent="0.25">
      <c r="G2827" s="15"/>
    </row>
    <row r="2828" spans="7:7" s="14" customFormat="1" ht="15.75" x14ac:dyDescent="0.25">
      <c r="G2828" s="15"/>
    </row>
    <row r="2829" spans="7:7" s="14" customFormat="1" ht="15.75" x14ac:dyDescent="0.25">
      <c r="G2829" s="15"/>
    </row>
    <row r="2830" spans="7:7" s="14" customFormat="1" ht="15.75" x14ac:dyDescent="0.25">
      <c r="G2830" s="15"/>
    </row>
    <row r="2831" spans="7:7" s="14" customFormat="1" ht="15.75" x14ac:dyDescent="0.25">
      <c r="G2831" s="15"/>
    </row>
    <row r="2832" spans="7:7" s="14" customFormat="1" ht="15.75" x14ac:dyDescent="0.25">
      <c r="G2832" s="15"/>
    </row>
    <row r="2833" spans="7:7" s="14" customFormat="1" ht="15.75" x14ac:dyDescent="0.25">
      <c r="G2833" s="15"/>
    </row>
    <row r="2834" spans="7:7" s="14" customFormat="1" ht="15.75" x14ac:dyDescent="0.25">
      <c r="G2834" s="15"/>
    </row>
    <row r="2835" spans="7:7" s="14" customFormat="1" ht="15.75" x14ac:dyDescent="0.25">
      <c r="G2835" s="15"/>
    </row>
    <row r="2836" spans="7:7" s="14" customFormat="1" ht="15.75" x14ac:dyDescent="0.25">
      <c r="G2836" s="15"/>
    </row>
    <row r="2837" spans="7:7" s="14" customFormat="1" ht="15.75" x14ac:dyDescent="0.25">
      <c r="G2837" s="15"/>
    </row>
    <row r="2838" spans="7:7" s="14" customFormat="1" ht="15.75" x14ac:dyDescent="0.25">
      <c r="G2838" s="15"/>
    </row>
    <row r="2839" spans="7:7" s="14" customFormat="1" ht="15.75" x14ac:dyDescent="0.25">
      <c r="G2839" s="15"/>
    </row>
    <row r="2840" spans="7:7" s="14" customFormat="1" ht="15.75" x14ac:dyDescent="0.25">
      <c r="G2840" s="15"/>
    </row>
    <row r="2841" spans="7:7" s="14" customFormat="1" ht="15.75" x14ac:dyDescent="0.25">
      <c r="G2841" s="15"/>
    </row>
    <row r="2842" spans="7:7" s="14" customFormat="1" ht="15.75" x14ac:dyDescent="0.25">
      <c r="G2842" s="15"/>
    </row>
    <row r="2843" spans="7:7" s="14" customFormat="1" ht="15.75" x14ac:dyDescent="0.25">
      <c r="G2843" s="15"/>
    </row>
    <row r="2844" spans="7:7" s="14" customFormat="1" ht="15.75" x14ac:dyDescent="0.25">
      <c r="G2844" s="15"/>
    </row>
    <row r="2845" spans="7:7" s="14" customFormat="1" ht="15.75" x14ac:dyDescent="0.25">
      <c r="G2845" s="15"/>
    </row>
    <row r="2846" spans="7:7" s="14" customFormat="1" ht="15.75" x14ac:dyDescent="0.25">
      <c r="G2846" s="15"/>
    </row>
    <row r="2847" spans="7:7" s="14" customFormat="1" ht="15.75" x14ac:dyDescent="0.25">
      <c r="G2847" s="15"/>
    </row>
    <row r="2848" spans="7:7" s="14" customFormat="1" ht="15.75" x14ac:dyDescent="0.25">
      <c r="G2848" s="15"/>
    </row>
    <row r="2849" spans="7:7" s="14" customFormat="1" ht="15.75" x14ac:dyDescent="0.25">
      <c r="G2849" s="15"/>
    </row>
    <row r="2850" spans="7:7" s="14" customFormat="1" ht="15.75" x14ac:dyDescent="0.25">
      <c r="G2850" s="15"/>
    </row>
    <row r="2851" spans="7:7" s="14" customFormat="1" ht="15.75" x14ac:dyDescent="0.25">
      <c r="G2851" s="15"/>
    </row>
    <row r="2852" spans="7:7" s="14" customFormat="1" ht="15.75" x14ac:dyDescent="0.25">
      <c r="G2852" s="15"/>
    </row>
    <row r="2853" spans="7:7" s="14" customFormat="1" ht="15.75" x14ac:dyDescent="0.25">
      <c r="G2853" s="15"/>
    </row>
    <row r="2854" spans="7:7" s="14" customFormat="1" ht="15.75" x14ac:dyDescent="0.25">
      <c r="G2854" s="15"/>
    </row>
    <row r="2855" spans="7:7" s="14" customFormat="1" ht="15.75" x14ac:dyDescent="0.25">
      <c r="G2855" s="15"/>
    </row>
    <row r="2856" spans="7:7" s="14" customFormat="1" ht="15.75" x14ac:dyDescent="0.25">
      <c r="G2856" s="15"/>
    </row>
    <row r="2857" spans="7:7" s="14" customFormat="1" ht="15.75" x14ac:dyDescent="0.25">
      <c r="G2857" s="15"/>
    </row>
    <row r="2858" spans="7:7" s="14" customFormat="1" ht="15.75" x14ac:dyDescent="0.25">
      <c r="G2858" s="15"/>
    </row>
    <row r="2859" spans="7:7" s="14" customFormat="1" ht="15.75" x14ac:dyDescent="0.25">
      <c r="G2859" s="15"/>
    </row>
    <row r="2860" spans="7:7" s="14" customFormat="1" ht="15.75" x14ac:dyDescent="0.25">
      <c r="G2860" s="15"/>
    </row>
    <row r="2861" spans="7:7" s="14" customFormat="1" ht="15.75" x14ac:dyDescent="0.25">
      <c r="G2861" s="15"/>
    </row>
    <row r="2862" spans="7:7" s="14" customFormat="1" ht="15.75" x14ac:dyDescent="0.25">
      <c r="G2862" s="15"/>
    </row>
    <row r="2863" spans="7:7" s="14" customFormat="1" ht="15.75" x14ac:dyDescent="0.25">
      <c r="G2863" s="15"/>
    </row>
    <row r="2864" spans="7:7" s="14" customFormat="1" ht="15.75" x14ac:dyDescent="0.25">
      <c r="G2864" s="15"/>
    </row>
    <row r="2865" spans="7:7" s="14" customFormat="1" ht="15.75" x14ac:dyDescent="0.25">
      <c r="G2865" s="15"/>
    </row>
    <row r="2866" spans="7:7" s="14" customFormat="1" ht="15.75" x14ac:dyDescent="0.25">
      <c r="G2866" s="15"/>
    </row>
    <row r="2867" spans="7:7" s="14" customFormat="1" ht="15.75" x14ac:dyDescent="0.25">
      <c r="G2867" s="15"/>
    </row>
    <row r="2868" spans="7:7" s="14" customFormat="1" ht="15.75" x14ac:dyDescent="0.25">
      <c r="G2868" s="15"/>
    </row>
    <row r="2869" spans="7:7" s="14" customFormat="1" ht="15.75" x14ac:dyDescent="0.25">
      <c r="G2869" s="15"/>
    </row>
    <row r="2870" spans="7:7" s="14" customFormat="1" ht="15.75" x14ac:dyDescent="0.25">
      <c r="G2870" s="15"/>
    </row>
    <row r="2871" spans="7:7" s="14" customFormat="1" ht="15.75" x14ac:dyDescent="0.25">
      <c r="G2871" s="15"/>
    </row>
    <row r="2872" spans="7:7" s="14" customFormat="1" ht="15.75" x14ac:dyDescent="0.25">
      <c r="G2872" s="15"/>
    </row>
    <row r="2873" spans="7:7" s="14" customFormat="1" ht="15.75" x14ac:dyDescent="0.25">
      <c r="G2873" s="15"/>
    </row>
    <row r="2874" spans="7:7" s="14" customFormat="1" ht="15.75" x14ac:dyDescent="0.25">
      <c r="G2874" s="15"/>
    </row>
    <row r="2875" spans="7:7" s="14" customFormat="1" ht="15.75" x14ac:dyDescent="0.25">
      <c r="G2875" s="15"/>
    </row>
    <row r="2876" spans="7:7" s="14" customFormat="1" ht="15.75" x14ac:dyDescent="0.25">
      <c r="G2876" s="15"/>
    </row>
    <row r="2877" spans="7:7" s="14" customFormat="1" ht="15.75" x14ac:dyDescent="0.25">
      <c r="G2877" s="15"/>
    </row>
    <row r="2878" spans="7:7" s="14" customFormat="1" ht="15.75" x14ac:dyDescent="0.25">
      <c r="G2878" s="15"/>
    </row>
    <row r="2879" spans="7:7" s="14" customFormat="1" ht="15.75" x14ac:dyDescent="0.25">
      <c r="G2879" s="15"/>
    </row>
    <row r="2880" spans="7:7" s="14" customFormat="1" ht="15.75" x14ac:dyDescent="0.25">
      <c r="G2880" s="15"/>
    </row>
    <row r="2881" spans="7:7" s="14" customFormat="1" ht="15.75" x14ac:dyDescent="0.25">
      <c r="G2881" s="15"/>
    </row>
    <row r="2882" spans="7:7" s="14" customFormat="1" ht="15.75" x14ac:dyDescent="0.25">
      <c r="G2882" s="15"/>
    </row>
    <row r="2883" spans="7:7" s="14" customFormat="1" ht="15.75" x14ac:dyDescent="0.25">
      <c r="G2883" s="15"/>
    </row>
    <row r="2884" spans="7:7" s="14" customFormat="1" ht="15.75" x14ac:dyDescent="0.25">
      <c r="G2884" s="15"/>
    </row>
    <row r="2885" spans="7:7" s="14" customFormat="1" ht="15.75" x14ac:dyDescent="0.25">
      <c r="G2885" s="15"/>
    </row>
    <row r="2886" spans="7:7" s="14" customFormat="1" ht="15.75" x14ac:dyDescent="0.25">
      <c r="G2886" s="15"/>
    </row>
    <row r="2887" spans="7:7" s="14" customFormat="1" ht="15.75" x14ac:dyDescent="0.25">
      <c r="G2887" s="15"/>
    </row>
    <row r="2888" spans="7:7" s="14" customFormat="1" ht="15.75" x14ac:dyDescent="0.25">
      <c r="G2888" s="15"/>
    </row>
    <row r="2889" spans="7:7" s="14" customFormat="1" ht="15.75" x14ac:dyDescent="0.25">
      <c r="G2889" s="15"/>
    </row>
    <row r="2890" spans="7:7" s="14" customFormat="1" ht="15.75" x14ac:dyDescent="0.25">
      <c r="G2890" s="15"/>
    </row>
    <row r="2891" spans="7:7" s="14" customFormat="1" ht="15.75" x14ac:dyDescent="0.25">
      <c r="G2891" s="15"/>
    </row>
    <row r="2892" spans="7:7" s="14" customFormat="1" ht="15.75" x14ac:dyDescent="0.25">
      <c r="G2892" s="15"/>
    </row>
    <row r="2893" spans="7:7" s="14" customFormat="1" ht="15.75" x14ac:dyDescent="0.25">
      <c r="G2893" s="15"/>
    </row>
    <row r="2894" spans="7:7" s="14" customFormat="1" ht="15.75" x14ac:dyDescent="0.25">
      <c r="G2894" s="15"/>
    </row>
    <row r="2895" spans="7:7" s="14" customFormat="1" ht="15.75" x14ac:dyDescent="0.25">
      <c r="G2895" s="15"/>
    </row>
    <row r="2896" spans="7:7" s="14" customFormat="1" ht="15.75" x14ac:dyDescent="0.25">
      <c r="G2896" s="15"/>
    </row>
    <row r="2897" spans="7:7" s="14" customFormat="1" ht="15.75" x14ac:dyDescent="0.25">
      <c r="G2897" s="15"/>
    </row>
    <row r="2898" spans="7:7" s="14" customFormat="1" ht="15.75" x14ac:dyDescent="0.25">
      <c r="G2898" s="15"/>
    </row>
    <row r="2899" spans="7:7" s="14" customFormat="1" ht="15.75" x14ac:dyDescent="0.25">
      <c r="G2899" s="15"/>
    </row>
    <row r="2900" spans="7:7" s="14" customFormat="1" ht="15.75" x14ac:dyDescent="0.25">
      <c r="G2900" s="15"/>
    </row>
    <row r="2901" spans="7:7" s="14" customFormat="1" ht="15.75" x14ac:dyDescent="0.25">
      <c r="G2901" s="15"/>
    </row>
    <row r="2902" spans="7:7" s="14" customFormat="1" ht="15.75" x14ac:dyDescent="0.25">
      <c r="G2902" s="15"/>
    </row>
    <row r="2903" spans="7:7" s="14" customFormat="1" ht="15.75" x14ac:dyDescent="0.25">
      <c r="G2903" s="15"/>
    </row>
    <row r="2904" spans="7:7" s="14" customFormat="1" ht="15.75" x14ac:dyDescent="0.25">
      <c r="G2904" s="15"/>
    </row>
    <row r="2905" spans="7:7" s="14" customFormat="1" ht="15.75" x14ac:dyDescent="0.25">
      <c r="G2905" s="15"/>
    </row>
    <row r="2906" spans="7:7" s="14" customFormat="1" ht="15.75" x14ac:dyDescent="0.25">
      <c r="G2906" s="15"/>
    </row>
    <row r="2907" spans="7:7" s="14" customFormat="1" ht="15.75" x14ac:dyDescent="0.25">
      <c r="G2907" s="15"/>
    </row>
    <row r="2908" spans="7:7" s="14" customFormat="1" ht="15.75" x14ac:dyDescent="0.25">
      <c r="G2908" s="15"/>
    </row>
    <row r="2909" spans="7:7" s="14" customFormat="1" ht="15.75" x14ac:dyDescent="0.25">
      <c r="G2909" s="15"/>
    </row>
    <row r="2910" spans="7:7" s="14" customFormat="1" ht="15.75" x14ac:dyDescent="0.25">
      <c r="G2910" s="15"/>
    </row>
    <row r="2911" spans="7:7" s="14" customFormat="1" ht="15.75" x14ac:dyDescent="0.25">
      <c r="G2911" s="15"/>
    </row>
    <row r="2912" spans="7:7" s="14" customFormat="1" ht="15.75" x14ac:dyDescent="0.25">
      <c r="G2912" s="15"/>
    </row>
    <row r="2913" spans="7:7" s="14" customFormat="1" ht="15.75" x14ac:dyDescent="0.25">
      <c r="G2913" s="15"/>
    </row>
    <row r="2914" spans="7:7" s="14" customFormat="1" ht="15.75" x14ac:dyDescent="0.25">
      <c r="G2914" s="15"/>
    </row>
    <row r="2915" spans="7:7" s="14" customFormat="1" ht="15.75" x14ac:dyDescent="0.25">
      <c r="G2915" s="15"/>
    </row>
    <row r="2916" spans="7:7" s="14" customFormat="1" ht="15.75" x14ac:dyDescent="0.25">
      <c r="G2916" s="15"/>
    </row>
    <row r="2917" spans="7:7" s="14" customFormat="1" ht="15.75" x14ac:dyDescent="0.25">
      <c r="G2917" s="15"/>
    </row>
    <row r="2918" spans="7:7" s="14" customFormat="1" ht="15.75" x14ac:dyDescent="0.25">
      <c r="G2918" s="15"/>
    </row>
    <row r="2919" spans="7:7" s="14" customFormat="1" ht="15.75" x14ac:dyDescent="0.25">
      <c r="G2919" s="15"/>
    </row>
    <row r="2920" spans="7:7" s="14" customFormat="1" ht="15.75" x14ac:dyDescent="0.25">
      <c r="G2920" s="15"/>
    </row>
    <row r="2921" spans="7:7" s="14" customFormat="1" ht="15.75" x14ac:dyDescent="0.25">
      <c r="G2921" s="15"/>
    </row>
    <row r="2922" spans="7:7" s="14" customFormat="1" ht="15.75" x14ac:dyDescent="0.25">
      <c r="G2922" s="15"/>
    </row>
    <row r="2923" spans="7:7" s="14" customFormat="1" ht="15.75" x14ac:dyDescent="0.25">
      <c r="G2923" s="15"/>
    </row>
    <row r="2924" spans="7:7" s="14" customFormat="1" ht="15.75" x14ac:dyDescent="0.25">
      <c r="G2924" s="15"/>
    </row>
    <row r="2925" spans="7:7" s="14" customFormat="1" ht="15.75" x14ac:dyDescent="0.25">
      <c r="G2925" s="15"/>
    </row>
    <row r="2926" spans="7:7" s="14" customFormat="1" ht="15.75" x14ac:dyDescent="0.25">
      <c r="G2926" s="15"/>
    </row>
    <row r="2927" spans="7:7" s="14" customFormat="1" ht="15.75" x14ac:dyDescent="0.25">
      <c r="G2927" s="15"/>
    </row>
    <row r="2928" spans="7:7" s="14" customFormat="1" ht="15.75" x14ac:dyDescent="0.25">
      <c r="G2928" s="15"/>
    </row>
    <row r="2929" spans="7:7" s="14" customFormat="1" ht="15.75" x14ac:dyDescent="0.25">
      <c r="G2929" s="15"/>
    </row>
    <row r="2930" spans="7:7" s="14" customFormat="1" ht="15.75" x14ac:dyDescent="0.25">
      <c r="G2930" s="15"/>
    </row>
    <row r="2931" spans="7:7" s="14" customFormat="1" ht="15.75" x14ac:dyDescent="0.25">
      <c r="G2931" s="15"/>
    </row>
    <row r="2932" spans="7:7" s="14" customFormat="1" ht="15.75" x14ac:dyDescent="0.25">
      <c r="G2932" s="15"/>
    </row>
    <row r="2933" spans="7:7" s="14" customFormat="1" ht="15.75" x14ac:dyDescent="0.25">
      <c r="G2933" s="15"/>
    </row>
    <row r="2934" spans="7:7" s="14" customFormat="1" ht="15.75" x14ac:dyDescent="0.25">
      <c r="G2934" s="15"/>
    </row>
    <row r="2935" spans="7:7" s="14" customFormat="1" ht="15.75" x14ac:dyDescent="0.25">
      <c r="G2935" s="15"/>
    </row>
    <row r="2936" spans="7:7" s="14" customFormat="1" ht="15.75" x14ac:dyDescent="0.25">
      <c r="G2936" s="15"/>
    </row>
    <row r="2937" spans="7:7" s="14" customFormat="1" ht="15.75" x14ac:dyDescent="0.25">
      <c r="G2937" s="15"/>
    </row>
    <row r="2938" spans="7:7" s="14" customFormat="1" ht="15.75" x14ac:dyDescent="0.25">
      <c r="G2938" s="15"/>
    </row>
    <row r="2939" spans="7:7" s="14" customFormat="1" ht="15.75" x14ac:dyDescent="0.25">
      <c r="G2939" s="15"/>
    </row>
    <row r="2940" spans="7:7" s="14" customFormat="1" ht="15.75" x14ac:dyDescent="0.25">
      <c r="G2940" s="15"/>
    </row>
    <row r="2941" spans="7:7" s="14" customFormat="1" ht="15.75" x14ac:dyDescent="0.25">
      <c r="G2941" s="15"/>
    </row>
    <row r="2942" spans="7:7" s="14" customFormat="1" ht="15.75" x14ac:dyDescent="0.25">
      <c r="G2942" s="15"/>
    </row>
    <row r="2943" spans="7:7" s="14" customFormat="1" ht="15.75" x14ac:dyDescent="0.25">
      <c r="G2943" s="15"/>
    </row>
    <row r="2944" spans="7:7" s="14" customFormat="1" ht="15.75" x14ac:dyDescent="0.25">
      <c r="G2944" s="15"/>
    </row>
    <row r="2945" spans="7:7" s="14" customFormat="1" ht="15.75" x14ac:dyDescent="0.25">
      <c r="G2945" s="15"/>
    </row>
    <row r="2946" spans="7:7" s="14" customFormat="1" ht="15.75" x14ac:dyDescent="0.25">
      <c r="G2946" s="15"/>
    </row>
    <row r="2947" spans="7:7" s="14" customFormat="1" ht="15.75" x14ac:dyDescent="0.25">
      <c r="G2947" s="15"/>
    </row>
    <row r="2948" spans="7:7" s="14" customFormat="1" ht="15.75" x14ac:dyDescent="0.25">
      <c r="G2948" s="15"/>
    </row>
    <row r="2949" spans="7:7" s="14" customFormat="1" ht="15.75" x14ac:dyDescent="0.25">
      <c r="G2949" s="15"/>
    </row>
    <row r="2950" spans="7:7" s="14" customFormat="1" ht="15.75" x14ac:dyDescent="0.25">
      <c r="G2950" s="15"/>
    </row>
    <row r="2951" spans="7:7" s="14" customFormat="1" ht="15.75" x14ac:dyDescent="0.25">
      <c r="G2951" s="15"/>
    </row>
    <row r="2952" spans="7:7" s="14" customFormat="1" ht="15.75" x14ac:dyDescent="0.25">
      <c r="G2952" s="15"/>
    </row>
    <row r="2953" spans="7:7" s="14" customFormat="1" ht="15.75" x14ac:dyDescent="0.25">
      <c r="G2953" s="15"/>
    </row>
    <row r="2954" spans="7:7" s="14" customFormat="1" ht="15.75" x14ac:dyDescent="0.25">
      <c r="G2954" s="15"/>
    </row>
    <row r="2955" spans="7:7" s="14" customFormat="1" ht="15.75" x14ac:dyDescent="0.25">
      <c r="G2955" s="15"/>
    </row>
    <row r="2956" spans="7:7" s="14" customFormat="1" ht="15.75" x14ac:dyDescent="0.25">
      <c r="G2956" s="15"/>
    </row>
    <row r="2957" spans="7:7" s="14" customFormat="1" ht="15.75" x14ac:dyDescent="0.25">
      <c r="G2957" s="15"/>
    </row>
    <row r="2958" spans="7:7" s="14" customFormat="1" ht="15.75" x14ac:dyDescent="0.25">
      <c r="G2958" s="15"/>
    </row>
    <row r="2959" spans="7:7" s="14" customFormat="1" ht="15.75" x14ac:dyDescent="0.25">
      <c r="G2959" s="15"/>
    </row>
    <row r="2960" spans="7:7" s="14" customFormat="1" ht="15.75" x14ac:dyDescent="0.25">
      <c r="G2960" s="15"/>
    </row>
    <row r="2961" spans="7:7" s="14" customFormat="1" ht="15.75" x14ac:dyDescent="0.25">
      <c r="G2961" s="15"/>
    </row>
    <row r="2962" spans="7:7" s="14" customFormat="1" ht="15.75" x14ac:dyDescent="0.25">
      <c r="G2962" s="15"/>
    </row>
    <row r="2963" spans="7:7" s="14" customFormat="1" ht="15.75" x14ac:dyDescent="0.25">
      <c r="G2963" s="15"/>
    </row>
    <row r="2964" spans="7:7" s="14" customFormat="1" ht="15.75" x14ac:dyDescent="0.25">
      <c r="G2964" s="15"/>
    </row>
    <row r="2965" spans="7:7" s="14" customFormat="1" ht="15.75" x14ac:dyDescent="0.25">
      <c r="G2965" s="15"/>
    </row>
    <row r="2966" spans="7:7" s="14" customFormat="1" ht="15.75" x14ac:dyDescent="0.25">
      <c r="G2966" s="15"/>
    </row>
    <row r="2967" spans="7:7" s="14" customFormat="1" ht="15.75" x14ac:dyDescent="0.25">
      <c r="G2967" s="15"/>
    </row>
    <row r="2968" spans="7:7" s="14" customFormat="1" ht="15.75" x14ac:dyDescent="0.25">
      <c r="G2968" s="15"/>
    </row>
    <row r="2969" spans="7:7" s="14" customFormat="1" ht="15.75" x14ac:dyDescent="0.25">
      <c r="G2969" s="15"/>
    </row>
    <row r="2970" spans="7:7" s="14" customFormat="1" ht="15.75" x14ac:dyDescent="0.25">
      <c r="G2970" s="15"/>
    </row>
    <row r="2971" spans="7:7" s="14" customFormat="1" ht="15.75" x14ac:dyDescent="0.25">
      <c r="G2971" s="15"/>
    </row>
    <row r="2972" spans="7:7" s="14" customFormat="1" ht="15.75" x14ac:dyDescent="0.25">
      <c r="G2972" s="15"/>
    </row>
    <row r="2973" spans="7:7" s="14" customFormat="1" ht="15.75" x14ac:dyDescent="0.25">
      <c r="G2973" s="15"/>
    </row>
    <row r="2974" spans="7:7" s="14" customFormat="1" ht="15.75" x14ac:dyDescent="0.25">
      <c r="G2974" s="15"/>
    </row>
    <row r="2975" spans="7:7" s="14" customFormat="1" ht="15.75" x14ac:dyDescent="0.25">
      <c r="G2975" s="15"/>
    </row>
    <row r="2976" spans="7:7" s="14" customFormat="1" ht="15.75" x14ac:dyDescent="0.25">
      <c r="G2976" s="15"/>
    </row>
    <row r="2977" spans="7:7" s="14" customFormat="1" ht="15.75" x14ac:dyDescent="0.25">
      <c r="G2977" s="15"/>
    </row>
    <row r="2978" spans="7:7" s="14" customFormat="1" ht="15.75" x14ac:dyDescent="0.25">
      <c r="G2978" s="15"/>
    </row>
    <row r="2979" spans="7:7" s="14" customFormat="1" ht="15.75" x14ac:dyDescent="0.25">
      <c r="G2979" s="15"/>
    </row>
    <row r="2980" spans="7:7" s="14" customFormat="1" ht="15.75" x14ac:dyDescent="0.25">
      <c r="G2980" s="15"/>
    </row>
    <row r="2981" spans="7:7" s="14" customFormat="1" ht="15.75" x14ac:dyDescent="0.25">
      <c r="G2981" s="15"/>
    </row>
    <row r="2982" spans="7:7" s="14" customFormat="1" ht="15.75" x14ac:dyDescent="0.25">
      <c r="G2982" s="15"/>
    </row>
    <row r="2983" spans="7:7" s="14" customFormat="1" ht="15.75" x14ac:dyDescent="0.25">
      <c r="G2983" s="15"/>
    </row>
    <row r="2984" spans="7:7" s="14" customFormat="1" ht="15.75" x14ac:dyDescent="0.25">
      <c r="G2984" s="15"/>
    </row>
    <row r="2985" spans="7:7" s="14" customFormat="1" ht="15.75" x14ac:dyDescent="0.25">
      <c r="G2985" s="15"/>
    </row>
    <row r="2986" spans="7:7" s="14" customFormat="1" ht="15.75" x14ac:dyDescent="0.25">
      <c r="G2986" s="15"/>
    </row>
    <row r="2987" spans="7:7" s="14" customFormat="1" ht="15.75" x14ac:dyDescent="0.25">
      <c r="G2987" s="15"/>
    </row>
    <row r="2988" spans="7:7" s="14" customFormat="1" ht="15.75" x14ac:dyDescent="0.25">
      <c r="G2988" s="15"/>
    </row>
    <row r="2989" spans="7:7" s="14" customFormat="1" ht="15.75" x14ac:dyDescent="0.25">
      <c r="G2989" s="15"/>
    </row>
    <row r="2990" spans="7:7" s="14" customFormat="1" ht="15.75" x14ac:dyDescent="0.25">
      <c r="G2990" s="15"/>
    </row>
    <row r="2991" spans="7:7" s="14" customFormat="1" ht="15.75" x14ac:dyDescent="0.25">
      <c r="G2991" s="15"/>
    </row>
    <row r="2992" spans="7:7" s="14" customFormat="1" ht="15.75" x14ac:dyDescent="0.25">
      <c r="G2992" s="15"/>
    </row>
    <row r="2993" spans="7:7" s="14" customFormat="1" ht="15.75" x14ac:dyDescent="0.25">
      <c r="G2993" s="15"/>
    </row>
    <row r="2994" spans="7:7" s="14" customFormat="1" ht="15.75" x14ac:dyDescent="0.25">
      <c r="G2994" s="15"/>
    </row>
    <row r="2995" spans="7:7" s="14" customFormat="1" ht="15.75" x14ac:dyDescent="0.25">
      <c r="G2995" s="15"/>
    </row>
    <row r="2996" spans="7:7" s="14" customFormat="1" ht="15.75" x14ac:dyDescent="0.25">
      <c r="G2996" s="15"/>
    </row>
    <row r="2997" spans="7:7" s="14" customFormat="1" ht="15.75" x14ac:dyDescent="0.25">
      <c r="G2997" s="15"/>
    </row>
    <row r="2998" spans="7:7" s="14" customFormat="1" ht="15.75" x14ac:dyDescent="0.25">
      <c r="G2998" s="15"/>
    </row>
    <row r="2999" spans="7:7" s="14" customFormat="1" ht="15.75" x14ac:dyDescent="0.25">
      <c r="G2999" s="15"/>
    </row>
    <row r="3000" spans="7:7" s="14" customFormat="1" ht="15.75" x14ac:dyDescent="0.25">
      <c r="G3000" s="15"/>
    </row>
    <row r="3001" spans="7:7" s="14" customFormat="1" ht="15.75" x14ac:dyDescent="0.25">
      <c r="G3001" s="15"/>
    </row>
    <row r="3002" spans="7:7" s="14" customFormat="1" ht="15.75" x14ac:dyDescent="0.25">
      <c r="G3002" s="15"/>
    </row>
    <row r="3003" spans="7:7" s="14" customFormat="1" ht="15.75" x14ac:dyDescent="0.25">
      <c r="G3003" s="15"/>
    </row>
    <row r="3004" spans="7:7" s="14" customFormat="1" ht="15.75" x14ac:dyDescent="0.25">
      <c r="G3004" s="15"/>
    </row>
    <row r="3005" spans="7:7" s="14" customFormat="1" ht="15.75" x14ac:dyDescent="0.25">
      <c r="G3005" s="15"/>
    </row>
    <row r="3006" spans="7:7" s="14" customFormat="1" ht="15.75" x14ac:dyDescent="0.25">
      <c r="G3006" s="15"/>
    </row>
    <row r="3007" spans="7:7" s="14" customFormat="1" ht="15.75" x14ac:dyDescent="0.25">
      <c r="G3007" s="15"/>
    </row>
    <row r="3008" spans="7:7" s="14" customFormat="1" ht="15.75" x14ac:dyDescent="0.25">
      <c r="G3008" s="15"/>
    </row>
    <row r="3009" spans="7:7" s="14" customFormat="1" ht="15.75" x14ac:dyDescent="0.25">
      <c r="G3009" s="15"/>
    </row>
    <row r="3010" spans="7:7" s="14" customFormat="1" ht="15.75" x14ac:dyDescent="0.25">
      <c r="G3010" s="15"/>
    </row>
    <row r="3011" spans="7:7" s="14" customFormat="1" ht="15.75" x14ac:dyDescent="0.25">
      <c r="G3011" s="15"/>
    </row>
    <row r="3012" spans="7:7" s="14" customFormat="1" ht="15.75" x14ac:dyDescent="0.25">
      <c r="G3012" s="15"/>
    </row>
    <row r="3013" spans="7:7" s="14" customFormat="1" ht="15.75" x14ac:dyDescent="0.25">
      <c r="G3013" s="15"/>
    </row>
    <row r="3014" spans="7:7" s="14" customFormat="1" ht="15.75" x14ac:dyDescent="0.25">
      <c r="G3014" s="15"/>
    </row>
    <row r="3015" spans="7:7" s="14" customFormat="1" ht="15.75" x14ac:dyDescent="0.25">
      <c r="G3015" s="15"/>
    </row>
    <row r="3016" spans="7:7" s="14" customFormat="1" ht="15.75" x14ac:dyDescent="0.25">
      <c r="G3016" s="15"/>
    </row>
    <row r="3017" spans="7:7" s="14" customFormat="1" ht="15.75" x14ac:dyDescent="0.25">
      <c r="G3017" s="15"/>
    </row>
    <row r="3018" spans="7:7" s="14" customFormat="1" ht="15.75" x14ac:dyDescent="0.25">
      <c r="G3018" s="15"/>
    </row>
    <row r="3019" spans="7:7" s="14" customFormat="1" ht="15.75" x14ac:dyDescent="0.25">
      <c r="G3019" s="15"/>
    </row>
    <row r="3020" spans="7:7" s="14" customFormat="1" ht="15.75" x14ac:dyDescent="0.25">
      <c r="G3020" s="15"/>
    </row>
    <row r="3021" spans="7:7" s="14" customFormat="1" ht="15.75" x14ac:dyDescent="0.25">
      <c r="G3021" s="15"/>
    </row>
    <row r="3022" spans="7:7" s="14" customFormat="1" ht="15.75" x14ac:dyDescent="0.25">
      <c r="G3022" s="15"/>
    </row>
    <row r="3023" spans="7:7" s="14" customFormat="1" ht="15.75" x14ac:dyDescent="0.25">
      <c r="G3023" s="15"/>
    </row>
    <row r="3024" spans="7:7" s="14" customFormat="1" ht="15.75" x14ac:dyDescent="0.25">
      <c r="G3024" s="15"/>
    </row>
    <row r="3025" spans="7:7" s="14" customFormat="1" ht="15.75" x14ac:dyDescent="0.25">
      <c r="G3025" s="15"/>
    </row>
    <row r="3026" spans="7:7" s="14" customFormat="1" ht="15.75" x14ac:dyDescent="0.25">
      <c r="G3026" s="15"/>
    </row>
    <row r="3027" spans="7:7" s="14" customFormat="1" ht="15.75" x14ac:dyDescent="0.25">
      <c r="G3027" s="15"/>
    </row>
    <row r="3028" spans="7:7" s="14" customFormat="1" ht="15.75" x14ac:dyDescent="0.25">
      <c r="G3028" s="15"/>
    </row>
    <row r="3029" spans="7:7" s="14" customFormat="1" ht="15.75" x14ac:dyDescent="0.25">
      <c r="G3029" s="15"/>
    </row>
    <row r="3030" spans="7:7" s="14" customFormat="1" ht="15.75" x14ac:dyDescent="0.25">
      <c r="G3030" s="15"/>
    </row>
    <row r="3031" spans="7:7" s="14" customFormat="1" ht="15.75" x14ac:dyDescent="0.25">
      <c r="G3031" s="15"/>
    </row>
    <row r="3032" spans="7:7" s="14" customFormat="1" ht="15.75" x14ac:dyDescent="0.25">
      <c r="G3032" s="15"/>
    </row>
    <row r="3033" spans="7:7" s="14" customFormat="1" ht="15.75" x14ac:dyDescent="0.25">
      <c r="G3033" s="15"/>
    </row>
    <row r="3034" spans="7:7" s="14" customFormat="1" ht="15.75" x14ac:dyDescent="0.25">
      <c r="G3034" s="15"/>
    </row>
    <row r="3035" spans="7:7" s="14" customFormat="1" ht="15.75" x14ac:dyDescent="0.25">
      <c r="G3035" s="15"/>
    </row>
    <row r="3036" spans="7:7" s="14" customFormat="1" ht="15.75" x14ac:dyDescent="0.25">
      <c r="G3036" s="15"/>
    </row>
    <row r="3037" spans="7:7" s="14" customFormat="1" ht="15.75" x14ac:dyDescent="0.25">
      <c r="G3037" s="15"/>
    </row>
    <row r="3038" spans="7:7" s="14" customFormat="1" ht="15.75" x14ac:dyDescent="0.25">
      <c r="G3038" s="15"/>
    </row>
    <row r="3039" spans="7:7" s="14" customFormat="1" ht="15.75" x14ac:dyDescent="0.25">
      <c r="G3039" s="15"/>
    </row>
    <row r="3040" spans="7:7" s="14" customFormat="1" ht="15.75" x14ac:dyDescent="0.25">
      <c r="G3040" s="15"/>
    </row>
    <row r="3041" spans="7:7" s="14" customFormat="1" ht="15.75" x14ac:dyDescent="0.25">
      <c r="G3041" s="15"/>
    </row>
    <row r="3042" spans="7:7" s="14" customFormat="1" ht="15.75" x14ac:dyDescent="0.25">
      <c r="G3042" s="15"/>
    </row>
    <row r="3043" spans="7:7" s="14" customFormat="1" ht="15.75" x14ac:dyDescent="0.25">
      <c r="G3043" s="15"/>
    </row>
    <row r="3044" spans="7:7" s="14" customFormat="1" ht="15.75" x14ac:dyDescent="0.25">
      <c r="G3044" s="15"/>
    </row>
    <row r="3045" spans="7:7" s="14" customFormat="1" ht="15.75" x14ac:dyDescent="0.25">
      <c r="G3045" s="15"/>
    </row>
    <row r="3046" spans="7:7" s="14" customFormat="1" ht="15.75" x14ac:dyDescent="0.25">
      <c r="G3046" s="15"/>
    </row>
    <row r="3047" spans="7:7" s="14" customFormat="1" ht="15.75" x14ac:dyDescent="0.25">
      <c r="G3047" s="15"/>
    </row>
    <row r="3048" spans="7:7" s="14" customFormat="1" ht="15.75" x14ac:dyDescent="0.25">
      <c r="G3048" s="15"/>
    </row>
    <row r="3049" spans="7:7" s="14" customFormat="1" ht="15.75" x14ac:dyDescent="0.25">
      <c r="G3049" s="15"/>
    </row>
    <row r="3050" spans="7:7" s="14" customFormat="1" ht="15.75" x14ac:dyDescent="0.25">
      <c r="G3050" s="15"/>
    </row>
    <row r="3051" spans="7:7" s="14" customFormat="1" ht="15.75" x14ac:dyDescent="0.25">
      <c r="G3051" s="15"/>
    </row>
    <row r="3052" spans="7:7" s="14" customFormat="1" ht="15.75" x14ac:dyDescent="0.25">
      <c r="G3052" s="15"/>
    </row>
    <row r="3053" spans="7:7" s="14" customFormat="1" ht="15.75" x14ac:dyDescent="0.25">
      <c r="G3053" s="15"/>
    </row>
    <row r="3054" spans="7:7" s="14" customFormat="1" ht="15.75" x14ac:dyDescent="0.25">
      <c r="G3054" s="15"/>
    </row>
    <row r="3055" spans="7:7" s="14" customFormat="1" ht="15.75" x14ac:dyDescent="0.25">
      <c r="G3055" s="15"/>
    </row>
    <row r="3056" spans="7:7" s="14" customFormat="1" ht="15.75" x14ac:dyDescent="0.25">
      <c r="G3056" s="15"/>
    </row>
    <row r="3057" spans="7:7" s="14" customFormat="1" ht="15.75" x14ac:dyDescent="0.25">
      <c r="G3057" s="15"/>
    </row>
    <row r="3058" spans="7:7" s="14" customFormat="1" ht="15.75" x14ac:dyDescent="0.25">
      <c r="G3058" s="15"/>
    </row>
    <row r="3059" spans="7:7" s="14" customFormat="1" ht="15.75" x14ac:dyDescent="0.25">
      <c r="G3059" s="15"/>
    </row>
    <row r="3060" spans="7:7" s="14" customFormat="1" ht="15.75" x14ac:dyDescent="0.25">
      <c r="G3060" s="15"/>
    </row>
    <row r="3061" spans="7:7" s="14" customFormat="1" ht="15.75" x14ac:dyDescent="0.25">
      <c r="G3061" s="15"/>
    </row>
    <row r="3062" spans="7:7" s="14" customFormat="1" ht="15.75" x14ac:dyDescent="0.25">
      <c r="G3062" s="15"/>
    </row>
    <row r="3063" spans="7:7" s="14" customFormat="1" ht="15.75" x14ac:dyDescent="0.25">
      <c r="G3063" s="15"/>
    </row>
    <row r="3064" spans="7:7" s="14" customFormat="1" ht="15.75" x14ac:dyDescent="0.25">
      <c r="G3064" s="15"/>
    </row>
    <row r="3065" spans="7:7" s="14" customFormat="1" ht="15.75" x14ac:dyDescent="0.25">
      <c r="G3065" s="15"/>
    </row>
    <row r="3066" spans="7:7" s="14" customFormat="1" ht="15.75" x14ac:dyDescent="0.25">
      <c r="G3066" s="15"/>
    </row>
    <row r="3067" spans="7:7" s="14" customFormat="1" ht="15.75" x14ac:dyDescent="0.25">
      <c r="G3067" s="15"/>
    </row>
    <row r="3068" spans="7:7" s="14" customFormat="1" ht="15.75" x14ac:dyDescent="0.25">
      <c r="G3068" s="15"/>
    </row>
    <row r="3069" spans="7:7" s="14" customFormat="1" ht="15.75" x14ac:dyDescent="0.25">
      <c r="G3069" s="15"/>
    </row>
    <row r="3070" spans="7:7" s="14" customFormat="1" ht="15.75" x14ac:dyDescent="0.25">
      <c r="G3070" s="15"/>
    </row>
    <row r="3071" spans="7:7" s="14" customFormat="1" ht="15.75" x14ac:dyDescent="0.25">
      <c r="G3071" s="15"/>
    </row>
    <row r="3072" spans="7:7" s="14" customFormat="1" ht="15.75" x14ac:dyDescent="0.25">
      <c r="G3072" s="15"/>
    </row>
    <row r="3073" spans="7:7" s="14" customFormat="1" ht="15.75" x14ac:dyDescent="0.25">
      <c r="G3073" s="15"/>
    </row>
    <row r="3074" spans="7:7" s="14" customFormat="1" ht="15.75" x14ac:dyDescent="0.25">
      <c r="G3074" s="15"/>
    </row>
    <row r="3075" spans="7:7" s="14" customFormat="1" ht="15.75" x14ac:dyDescent="0.25">
      <c r="G3075" s="15"/>
    </row>
    <row r="3076" spans="7:7" s="14" customFormat="1" ht="15.75" x14ac:dyDescent="0.25">
      <c r="G3076" s="15"/>
    </row>
    <row r="3077" spans="7:7" s="14" customFormat="1" ht="15.75" x14ac:dyDescent="0.25">
      <c r="G3077" s="15"/>
    </row>
    <row r="3078" spans="7:7" s="14" customFormat="1" ht="15.75" x14ac:dyDescent="0.25">
      <c r="G3078" s="15"/>
    </row>
    <row r="3079" spans="7:7" s="14" customFormat="1" ht="15.75" x14ac:dyDescent="0.25">
      <c r="G3079" s="15"/>
    </row>
    <row r="3080" spans="7:7" s="14" customFormat="1" ht="15.75" x14ac:dyDescent="0.25">
      <c r="G3080" s="15"/>
    </row>
    <row r="3081" spans="7:7" s="14" customFormat="1" ht="15.75" x14ac:dyDescent="0.25">
      <c r="G3081" s="15"/>
    </row>
    <row r="3082" spans="7:7" s="14" customFormat="1" ht="15.75" x14ac:dyDescent="0.25">
      <c r="G3082" s="15"/>
    </row>
    <row r="3083" spans="7:7" s="14" customFormat="1" ht="15.75" x14ac:dyDescent="0.25">
      <c r="G3083" s="15"/>
    </row>
    <row r="3084" spans="7:7" s="14" customFormat="1" ht="15.75" x14ac:dyDescent="0.25">
      <c r="G3084" s="15"/>
    </row>
    <row r="3085" spans="7:7" s="14" customFormat="1" ht="15.75" x14ac:dyDescent="0.25">
      <c r="G3085" s="15"/>
    </row>
    <row r="3086" spans="7:7" s="14" customFormat="1" ht="15.75" x14ac:dyDescent="0.25">
      <c r="G3086" s="15"/>
    </row>
    <row r="3087" spans="7:7" s="14" customFormat="1" ht="15.75" x14ac:dyDescent="0.25">
      <c r="G3087" s="15"/>
    </row>
    <row r="3088" spans="7:7" s="14" customFormat="1" ht="15.75" x14ac:dyDescent="0.25">
      <c r="G3088" s="15"/>
    </row>
    <row r="3089" spans="7:7" s="14" customFormat="1" ht="15.75" x14ac:dyDescent="0.25">
      <c r="G3089" s="15"/>
    </row>
    <row r="3090" spans="7:7" s="14" customFormat="1" ht="15.75" x14ac:dyDescent="0.25">
      <c r="G3090" s="15"/>
    </row>
    <row r="3091" spans="7:7" s="14" customFormat="1" ht="15.75" x14ac:dyDescent="0.25">
      <c r="G3091" s="15"/>
    </row>
    <row r="3092" spans="7:7" s="14" customFormat="1" ht="15.75" x14ac:dyDescent="0.25">
      <c r="G3092" s="15"/>
    </row>
    <row r="3093" spans="7:7" s="14" customFormat="1" ht="15.75" x14ac:dyDescent="0.25">
      <c r="G3093" s="15"/>
    </row>
    <row r="3094" spans="7:7" s="14" customFormat="1" ht="15.75" x14ac:dyDescent="0.25">
      <c r="G3094" s="15"/>
    </row>
    <row r="3095" spans="7:7" s="14" customFormat="1" ht="15.75" x14ac:dyDescent="0.25">
      <c r="G3095" s="15"/>
    </row>
    <row r="3096" spans="7:7" s="14" customFormat="1" ht="15.75" x14ac:dyDescent="0.25">
      <c r="G3096" s="15"/>
    </row>
    <row r="3097" spans="7:7" s="14" customFormat="1" ht="15.75" x14ac:dyDescent="0.25">
      <c r="G3097" s="15"/>
    </row>
    <row r="3098" spans="7:7" s="14" customFormat="1" ht="15.75" x14ac:dyDescent="0.25">
      <c r="G3098" s="15"/>
    </row>
    <row r="3099" spans="7:7" s="14" customFormat="1" ht="15.75" x14ac:dyDescent="0.25">
      <c r="G3099" s="15"/>
    </row>
    <row r="3100" spans="7:7" s="14" customFormat="1" ht="15.75" x14ac:dyDescent="0.25">
      <c r="G3100" s="15"/>
    </row>
    <row r="3101" spans="7:7" s="14" customFormat="1" ht="15.75" x14ac:dyDescent="0.25">
      <c r="G3101" s="15"/>
    </row>
    <row r="3102" spans="7:7" s="14" customFormat="1" ht="15.75" x14ac:dyDescent="0.25">
      <c r="G3102" s="15"/>
    </row>
    <row r="3103" spans="7:7" s="14" customFormat="1" ht="15.75" x14ac:dyDescent="0.25">
      <c r="G3103" s="15"/>
    </row>
    <row r="3104" spans="7:7" s="14" customFormat="1" ht="15.75" x14ac:dyDescent="0.25">
      <c r="G3104" s="15"/>
    </row>
    <row r="3105" spans="7:7" s="14" customFormat="1" ht="15.75" x14ac:dyDescent="0.25">
      <c r="G3105" s="15"/>
    </row>
    <row r="3106" spans="7:7" s="14" customFormat="1" ht="15.75" x14ac:dyDescent="0.25">
      <c r="G3106" s="15"/>
    </row>
    <row r="3107" spans="7:7" s="14" customFormat="1" ht="15.75" x14ac:dyDescent="0.25">
      <c r="G3107" s="15"/>
    </row>
    <row r="3108" spans="7:7" s="14" customFormat="1" ht="15.75" x14ac:dyDescent="0.25">
      <c r="G3108" s="15"/>
    </row>
    <row r="3109" spans="7:7" s="14" customFormat="1" ht="15.75" x14ac:dyDescent="0.25">
      <c r="G3109" s="15"/>
    </row>
    <row r="3110" spans="7:7" s="14" customFormat="1" ht="15.75" x14ac:dyDescent="0.25">
      <c r="G3110" s="15"/>
    </row>
    <row r="3111" spans="7:7" s="14" customFormat="1" ht="15.75" x14ac:dyDescent="0.25">
      <c r="G3111" s="15"/>
    </row>
    <row r="3112" spans="7:7" s="14" customFormat="1" ht="15.75" x14ac:dyDescent="0.25">
      <c r="G3112" s="15"/>
    </row>
    <row r="3113" spans="7:7" s="14" customFormat="1" ht="15.75" x14ac:dyDescent="0.25">
      <c r="G3113" s="15"/>
    </row>
    <row r="3114" spans="7:7" s="14" customFormat="1" ht="15.75" x14ac:dyDescent="0.25">
      <c r="G3114" s="15"/>
    </row>
    <row r="3115" spans="7:7" s="14" customFormat="1" ht="15.75" x14ac:dyDescent="0.25">
      <c r="G3115" s="15"/>
    </row>
    <row r="3116" spans="7:7" s="14" customFormat="1" ht="15.75" x14ac:dyDescent="0.25">
      <c r="G3116" s="15"/>
    </row>
    <row r="3117" spans="7:7" s="14" customFormat="1" ht="15.75" x14ac:dyDescent="0.25">
      <c r="G3117" s="15"/>
    </row>
    <row r="3118" spans="7:7" s="14" customFormat="1" ht="15.75" x14ac:dyDescent="0.25">
      <c r="G3118" s="15"/>
    </row>
    <row r="3119" spans="7:7" s="14" customFormat="1" ht="15.75" x14ac:dyDescent="0.25">
      <c r="G3119" s="15"/>
    </row>
    <row r="3120" spans="7:7" s="14" customFormat="1" ht="15.75" x14ac:dyDescent="0.25">
      <c r="G3120" s="15"/>
    </row>
    <row r="3121" spans="7:7" s="14" customFormat="1" ht="15.75" x14ac:dyDescent="0.25">
      <c r="G3121" s="15"/>
    </row>
    <row r="3122" spans="7:7" s="14" customFormat="1" ht="15.75" x14ac:dyDescent="0.25">
      <c r="G3122" s="15"/>
    </row>
    <row r="3123" spans="7:7" s="14" customFormat="1" ht="15.75" x14ac:dyDescent="0.25">
      <c r="G3123" s="15"/>
    </row>
    <row r="3124" spans="7:7" s="14" customFormat="1" ht="15.75" x14ac:dyDescent="0.25">
      <c r="G3124" s="15"/>
    </row>
    <row r="3125" spans="7:7" s="14" customFormat="1" ht="15.75" x14ac:dyDescent="0.25">
      <c r="G3125" s="15"/>
    </row>
    <row r="3126" spans="7:7" s="14" customFormat="1" ht="15.75" x14ac:dyDescent="0.25">
      <c r="G3126" s="15"/>
    </row>
    <row r="3127" spans="7:7" s="14" customFormat="1" ht="15.75" x14ac:dyDescent="0.25">
      <c r="G3127" s="15"/>
    </row>
    <row r="3128" spans="7:7" s="14" customFormat="1" ht="15.75" x14ac:dyDescent="0.25">
      <c r="G3128" s="15"/>
    </row>
    <row r="3129" spans="7:7" s="14" customFormat="1" ht="15.75" x14ac:dyDescent="0.25">
      <c r="G3129" s="15"/>
    </row>
    <row r="3130" spans="7:7" s="14" customFormat="1" ht="15.75" x14ac:dyDescent="0.25">
      <c r="G3130" s="15"/>
    </row>
    <row r="3131" spans="7:7" s="14" customFormat="1" ht="15.75" x14ac:dyDescent="0.25">
      <c r="G3131" s="15"/>
    </row>
    <row r="3132" spans="7:7" s="14" customFormat="1" ht="15.75" x14ac:dyDescent="0.25">
      <c r="G3132" s="15"/>
    </row>
    <row r="3133" spans="7:7" s="14" customFormat="1" ht="15.75" x14ac:dyDescent="0.25">
      <c r="G3133" s="15"/>
    </row>
    <row r="3134" spans="7:7" s="14" customFormat="1" ht="15.75" x14ac:dyDescent="0.25">
      <c r="G3134" s="15"/>
    </row>
    <row r="3135" spans="7:7" s="14" customFormat="1" ht="15.75" x14ac:dyDescent="0.25">
      <c r="G3135" s="15"/>
    </row>
    <row r="3136" spans="7:7" s="14" customFormat="1" ht="15.75" x14ac:dyDescent="0.25">
      <c r="G3136" s="15"/>
    </row>
    <row r="3137" spans="7:7" s="14" customFormat="1" ht="15.75" x14ac:dyDescent="0.25">
      <c r="G3137" s="15"/>
    </row>
    <row r="3138" spans="7:7" s="14" customFormat="1" ht="15.75" x14ac:dyDescent="0.25">
      <c r="G3138" s="15"/>
    </row>
    <row r="3139" spans="7:7" s="14" customFormat="1" ht="15.75" x14ac:dyDescent="0.25">
      <c r="G3139" s="15"/>
    </row>
    <row r="3140" spans="7:7" s="14" customFormat="1" ht="15.75" x14ac:dyDescent="0.25">
      <c r="G3140" s="15"/>
    </row>
    <row r="3141" spans="7:7" s="14" customFormat="1" ht="15.75" x14ac:dyDescent="0.25">
      <c r="G3141" s="15"/>
    </row>
    <row r="3142" spans="7:7" s="14" customFormat="1" ht="15.75" x14ac:dyDescent="0.25">
      <c r="G3142" s="15"/>
    </row>
    <row r="3143" spans="7:7" s="14" customFormat="1" ht="15.75" x14ac:dyDescent="0.25">
      <c r="G3143" s="15"/>
    </row>
    <row r="3144" spans="7:7" s="14" customFormat="1" ht="15.75" x14ac:dyDescent="0.25">
      <c r="G3144" s="15"/>
    </row>
    <row r="3145" spans="7:7" s="14" customFormat="1" ht="15.75" x14ac:dyDescent="0.25">
      <c r="G3145" s="15"/>
    </row>
    <row r="3146" spans="7:7" s="14" customFormat="1" ht="15.75" x14ac:dyDescent="0.25">
      <c r="G3146" s="15"/>
    </row>
    <row r="3147" spans="7:7" s="14" customFormat="1" ht="15.75" x14ac:dyDescent="0.25">
      <c r="G3147" s="15"/>
    </row>
    <row r="3148" spans="7:7" s="14" customFormat="1" ht="15.75" x14ac:dyDescent="0.25">
      <c r="G3148" s="15"/>
    </row>
    <row r="3149" spans="7:7" s="14" customFormat="1" ht="15.75" x14ac:dyDescent="0.25">
      <c r="G3149" s="15"/>
    </row>
    <row r="3150" spans="7:7" s="14" customFormat="1" ht="15.75" x14ac:dyDescent="0.25">
      <c r="G3150" s="15"/>
    </row>
    <row r="3151" spans="7:7" s="14" customFormat="1" ht="15.75" x14ac:dyDescent="0.25">
      <c r="G3151" s="15"/>
    </row>
    <row r="3152" spans="7:7" s="14" customFormat="1" ht="15.75" x14ac:dyDescent="0.25">
      <c r="G3152" s="15"/>
    </row>
    <row r="3153" spans="7:7" s="14" customFormat="1" ht="15.75" x14ac:dyDescent="0.25">
      <c r="G3153" s="15"/>
    </row>
    <row r="3154" spans="7:7" s="14" customFormat="1" ht="15.75" x14ac:dyDescent="0.25">
      <c r="G3154" s="15"/>
    </row>
    <row r="3155" spans="7:7" s="14" customFormat="1" ht="15.75" x14ac:dyDescent="0.25">
      <c r="G3155" s="15"/>
    </row>
    <row r="3156" spans="7:7" s="14" customFormat="1" ht="15.75" x14ac:dyDescent="0.25">
      <c r="G3156" s="15"/>
    </row>
    <row r="3157" spans="7:7" s="14" customFormat="1" ht="15.75" x14ac:dyDescent="0.25">
      <c r="G3157" s="15"/>
    </row>
    <row r="3158" spans="7:7" s="14" customFormat="1" ht="15.75" x14ac:dyDescent="0.25">
      <c r="G3158" s="15"/>
    </row>
    <row r="3159" spans="7:7" s="14" customFormat="1" ht="15.75" x14ac:dyDescent="0.25">
      <c r="G3159" s="15"/>
    </row>
    <row r="3160" spans="7:7" s="14" customFormat="1" ht="15.75" x14ac:dyDescent="0.25">
      <c r="G3160" s="15"/>
    </row>
    <row r="3161" spans="7:7" s="14" customFormat="1" ht="15.75" x14ac:dyDescent="0.25">
      <c r="G3161" s="15"/>
    </row>
    <row r="3162" spans="7:7" s="14" customFormat="1" ht="15.75" x14ac:dyDescent="0.25">
      <c r="G3162" s="15"/>
    </row>
    <row r="3163" spans="7:7" s="14" customFormat="1" ht="15.75" x14ac:dyDescent="0.25">
      <c r="G3163" s="15"/>
    </row>
    <row r="3164" spans="7:7" s="14" customFormat="1" ht="15.75" x14ac:dyDescent="0.25">
      <c r="G3164" s="15"/>
    </row>
    <row r="3165" spans="7:7" s="14" customFormat="1" ht="15.75" x14ac:dyDescent="0.25">
      <c r="G3165" s="15"/>
    </row>
    <row r="3166" spans="7:7" s="14" customFormat="1" ht="15.75" x14ac:dyDescent="0.25">
      <c r="G3166" s="15"/>
    </row>
    <row r="3167" spans="7:7" s="14" customFormat="1" ht="15.75" x14ac:dyDescent="0.25">
      <c r="G3167" s="15"/>
    </row>
    <row r="3168" spans="7:7" s="14" customFormat="1" ht="15.75" x14ac:dyDescent="0.25">
      <c r="G3168" s="15"/>
    </row>
    <row r="3169" spans="7:7" s="14" customFormat="1" ht="15.75" x14ac:dyDescent="0.25">
      <c r="G3169" s="15"/>
    </row>
    <row r="3170" spans="7:7" s="14" customFormat="1" ht="15.75" x14ac:dyDescent="0.25">
      <c r="G3170" s="15"/>
    </row>
    <row r="3171" spans="7:7" s="14" customFormat="1" ht="15.75" x14ac:dyDescent="0.25">
      <c r="G3171" s="15"/>
    </row>
    <row r="3172" spans="7:7" s="14" customFormat="1" ht="15.75" x14ac:dyDescent="0.25">
      <c r="G3172" s="15"/>
    </row>
    <row r="3173" spans="7:7" s="14" customFormat="1" ht="15.75" x14ac:dyDescent="0.25">
      <c r="G3173" s="15"/>
    </row>
    <row r="3174" spans="7:7" s="14" customFormat="1" ht="15.75" x14ac:dyDescent="0.25">
      <c r="G3174" s="15"/>
    </row>
    <row r="3175" spans="7:7" s="14" customFormat="1" ht="15.75" x14ac:dyDescent="0.25">
      <c r="G3175" s="15"/>
    </row>
    <row r="3176" spans="7:7" s="14" customFormat="1" ht="15.75" x14ac:dyDescent="0.25">
      <c r="G3176" s="15"/>
    </row>
    <row r="3177" spans="7:7" s="14" customFormat="1" ht="15.75" x14ac:dyDescent="0.25">
      <c r="G3177" s="15"/>
    </row>
    <row r="3178" spans="7:7" s="14" customFormat="1" ht="15.75" x14ac:dyDescent="0.25">
      <c r="G3178" s="15"/>
    </row>
    <row r="3179" spans="7:7" s="14" customFormat="1" ht="15.75" x14ac:dyDescent="0.25">
      <c r="G3179" s="15"/>
    </row>
    <row r="3180" spans="7:7" s="14" customFormat="1" ht="15.75" x14ac:dyDescent="0.25">
      <c r="G3180" s="15"/>
    </row>
    <row r="3181" spans="7:7" s="14" customFormat="1" ht="15.75" x14ac:dyDescent="0.25">
      <c r="G3181" s="15"/>
    </row>
    <row r="3182" spans="7:7" s="14" customFormat="1" ht="15.75" x14ac:dyDescent="0.25">
      <c r="G3182" s="15"/>
    </row>
    <row r="3183" spans="7:7" s="14" customFormat="1" ht="15.75" x14ac:dyDescent="0.25">
      <c r="G3183" s="15"/>
    </row>
    <row r="3184" spans="7:7" s="14" customFormat="1" ht="15.75" x14ac:dyDescent="0.25">
      <c r="G3184" s="15"/>
    </row>
    <row r="3185" spans="7:7" s="14" customFormat="1" ht="15.75" x14ac:dyDescent="0.25">
      <c r="G3185" s="15"/>
    </row>
    <row r="3186" spans="7:7" s="14" customFormat="1" ht="15.75" x14ac:dyDescent="0.25">
      <c r="G3186" s="15"/>
    </row>
    <row r="3187" spans="7:7" s="14" customFormat="1" ht="15.75" x14ac:dyDescent="0.25">
      <c r="G3187" s="15"/>
    </row>
    <row r="3188" spans="7:7" s="14" customFormat="1" ht="15.75" x14ac:dyDescent="0.25">
      <c r="G3188" s="15"/>
    </row>
    <row r="3189" spans="7:7" s="14" customFormat="1" ht="15.75" x14ac:dyDescent="0.25">
      <c r="G3189" s="15"/>
    </row>
    <row r="3190" spans="7:7" s="14" customFormat="1" ht="15.75" x14ac:dyDescent="0.25">
      <c r="G3190" s="15"/>
    </row>
    <row r="3191" spans="7:7" s="14" customFormat="1" ht="15.75" x14ac:dyDescent="0.25">
      <c r="G3191" s="15"/>
    </row>
    <row r="3192" spans="7:7" s="14" customFormat="1" ht="15.75" x14ac:dyDescent="0.25">
      <c r="G3192" s="15"/>
    </row>
    <row r="3193" spans="7:7" s="14" customFormat="1" ht="15.75" x14ac:dyDescent="0.25">
      <c r="G3193" s="15"/>
    </row>
    <row r="3194" spans="7:7" s="14" customFormat="1" ht="15.75" x14ac:dyDescent="0.25">
      <c r="G3194" s="15"/>
    </row>
    <row r="3195" spans="7:7" s="14" customFormat="1" ht="15.75" x14ac:dyDescent="0.25">
      <c r="G3195" s="15"/>
    </row>
    <row r="3196" spans="7:7" s="14" customFormat="1" ht="15.75" x14ac:dyDescent="0.25">
      <c r="G3196" s="15"/>
    </row>
    <row r="3197" spans="7:7" s="14" customFormat="1" ht="15.75" x14ac:dyDescent="0.25">
      <c r="G3197" s="15"/>
    </row>
    <row r="3198" spans="7:7" s="14" customFormat="1" ht="15.75" x14ac:dyDescent="0.25">
      <c r="G3198" s="15"/>
    </row>
    <row r="3199" spans="7:7" s="14" customFormat="1" ht="15.75" x14ac:dyDescent="0.25">
      <c r="G3199" s="15"/>
    </row>
    <row r="3200" spans="7:7" s="14" customFormat="1" ht="15.75" x14ac:dyDescent="0.25">
      <c r="G3200" s="15"/>
    </row>
    <row r="3201" spans="7:7" s="14" customFormat="1" ht="15.75" x14ac:dyDescent="0.25">
      <c r="G3201" s="15"/>
    </row>
    <row r="3202" spans="7:7" s="14" customFormat="1" ht="15.75" x14ac:dyDescent="0.25">
      <c r="G3202" s="15"/>
    </row>
    <row r="3203" spans="7:7" s="14" customFormat="1" ht="15.75" x14ac:dyDescent="0.25">
      <c r="G3203" s="15"/>
    </row>
    <row r="3204" spans="7:7" s="14" customFormat="1" ht="15.75" x14ac:dyDescent="0.25">
      <c r="G3204" s="15"/>
    </row>
    <row r="3205" spans="7:7" s="14" customFormat="1" ht="15.75" x14ac:dyDescent="0.25">
      <c r="G3205" s="15"/>
    </row>
    <row r="3206" spans="7:7" s="14" customFormat="1" ht="15.75" x14ac:dyDescent="0.25">
      <c r="G3206" s="15"/>
    </row>
    <row r="3207" spans="7:7" s="14" customFormat="1" ht="15.75" x14ac:dyDescent="0.25">
      <c r="G3207" s="15"/>
    </row>
    <row r="3208" spans="7:7" s="14" customFormat="1" ht="15.75" x14ac:dyDescent="0.25">
      <c r="G3208" s="15"/>
    </row>
    <row r="3209" spans="7:7" s="14" customFormat="1" ht="15.75" x14ac:dyDescent="0.25">
      <c r="G3209" s="15"/>
    </row>
    <row r="3210" spans="7:7" s="14" customFormat="1" ht="15.75" x14ac:dyDescent="0.25">
      <c r="G3210" s="15"/>
    </row>
    <row r="3211" spans="7:7" s="14" customFormat="1" ht="15.75" x14ac:dyDescent="0.25">
      <c r="G3211" s="15"/>
    </row>
    <row r="3212" spans="7:7" s="14" customFormat="1" ht="15.75" x14ac:dyDescent="0.25">
      <c r="G3212" s="15"/>
    </row>
    <row r="3213" spans="7:7" s="14" customFormat="1" ht="15.75" x14ac:dyDescent="0.25">
      <c r="G3213" s="15"/>
    </row>
    <row r="3214" spans="7:7" s="14" customFormat="1" ht="15.75" x14ac:dyDescent="0.25">
      <c r="G3214" s="15"/>
    </row>
    <row r="3215" spans="7:7" s="14" customFormat="1" ht="15.75" x14ac:dyDescent="0.25">
      <c r="G3215" s="15"/>
    </row>
    <row r="3216" spans="7:7" s="14" customFormat="1" ht="15.75" x14ac:dyDescent="0.25">
      <c r="G3216" s="15"/>
    </row>
    <row r="3217" spans="7:7" s="14" customFormat="1" ht="15.75" x14ac:dyDescent="0.25">
      <c r="G3217" s="15"/>
    </row>
    <row r="3218" spans="7:7" s="14" customFormat="1" ht="15.75" x14ac:dyDescent="0.25">
      <c r="G3218" s="15"/>
    </row>
    <row r="3219" spans="7:7" s="14" customFormat="1" ht="15.75" x14ac:dyDescent="0.25">
      <c r="G3219" s="15"/>
    </row>
    <row r="3220" spans="7:7" s="14" customFormat="1" ht="15.75" x14ac:dyDescent="0.25">
      <c r="G3220" s="15"/>
    </row>
    <row r="3221" spans="7:7" s="14" customFormat="1" ht="15.75" x14ac:dyDescent="0.25">
      <c r="G3221" s="15"/>
    </row>
    <row r="3222" spans="7:7" s="14" customFormat="1" ht="15.75" x14ac:dyDescent="0.25">
      <c r="G3222" s="15"/>
    </row>
    <row r="3223" spans="7:7" s="14" customFormat="1" ht="15.75" x14ac:dyDescent="0.25">
      <c r="G3223" s="15"/>
    </row>
    <row r="3224" spans="7:7" s="14" customFormat="1" ht="15.75" x14ac:dyDescent="0.25">
      <c r="G3224" s="15"/>
    </row>
    <row r="3225" spans="7:7" s="14" customFormat="1" ht="15.75" x14ac:dyDescent="0.25">
      <c r="G3225" s="15"/>
    </row>
    <row r="3226" spans="7:7" s="14" customFormat="1" ht="15.75" x14ac:dyDescent="0.25">
      <c r="G3226" s="15"/>
    </row>
    <row r="3227" spans="7:7" s="14" customFormat="1" ht="15.75" x14ac:dyDescent="0.25">
      <c r="G3227" s="15"/>
    </row>
    <row r="3228" spans="7:7" s="14" customFormat="1" ht="15.75" x14ac:dyDescent="0.25">
      <c r="G3228" s="15"/>
    </row>
    <row r="3229" spans="7:7" s="14" customFormat="1" ht="15.75" x14ac:dyDescent="0.25">
      <c r="G3229" s="15"/>
    </row>
    <row r="3230" spans="7:7" s="14" customFormat="1" ht="15.75" x14ac:dyDescent="0.25">
      <c r="G3230" s="15"/>
    </row>
    <row r="3231" spans="7:7" s="14" customFormat="1" ht="15.75" x14ac:dyDescent="0.25">
      <c r="G3231" s="15"/>
    </row>
    <row r="3232" spans="7:7" s="14" customFormat="1" ht="15.75" x14ac:dyDescent="0.25">
      <c r="G3232" s="15"/>
    </row>
    <row r="3233" spans="7:7" s="14" customFormat="1" ht="15.75" x14ac:dyDescent="0.25">
      <c r="G3233" s="15"/>
    </row>
    <row r="3234" spans="7:7" s="14" customFormat="1" ht="15.75" x14ac:dyDescent="0.25">
      <c r="G3234" s="15"/>
    </row>
    <row r="3235" spans="7:7" s="14" customFormat="1" ht="15.75" x14ac:dyDescent="0.25">
      <c r="G3235" s="15"/>
    </row>
    <row r="3236" spans="7:7" s="14" customFormat="1" ht="15.75" x14ac:dyDescent="0.25">
      <c r="G3236" s="15"/>
    </row>
    <row r="3237" spans="7:7" s="14" customFormat="1" ht="15.75" x14ac:dyDescent="0.25">
      <c r="G3237" s="15"/>
    </row>
    <row r="3238" spans="7:7" s="14" customFormat="1" ht="15.75" x14ac:dyDescent="0.25">
      <c r="G3238" s="15"/>
    </row>
    <row r="3239" spans="7:7" s="14" customFormat="1" ht="15.75" x14ac:dyDescent="0.25">
      <c r="G3239" s="15"/>
    </row>
    <row r="3240" spans="7:7" s="14" customFormat="1" ht="15.75" x14ac:dyDescent="0.25">
      <c r="G3240" s="15"/>
    </row>
    <row r="3241" spans="7:7" s="14" customFormat="1" ht="15.75" x14ac:dyDescent="0.25">
      <c r="G3241" s="15"/>
    </row>
    <row r="3242" spans="7:7" s="14" customFormat="1" ht="15.75" x14ac:dyDescent="0.25">
      <c r="G3242" s="15"/>
    </row>
    <row r="3243" spans="7:7" s="14" customFormat="1" ht="15.75" x14ac:dyDescent="0.25">
      <c r="G3243" s="15"/>
    </row>
    <row r="3244" spans="7:7" s="14" customFormat="1" ht="15.75" x14ac:dyDescent="0.25">
      <c r="G3244" s="15"/>
    </row>
    <row r="3245" spans="7:7" s="14" customFormat="1" ht="15.75" x14ac:dyDescent="0.25">
      <c r="G3245" s="15"/>
    </row>
    <row r="3246" spans="7:7" s="14" customFormat="1" ht="15.75" x14ac:dyDescent="0.25">
      <c r="G3246" s="15"/>
    </row>
    <row r="3247" spans="7:7" s="14" customFormat="1" ht="15.75" x14ac:dyDescent="0.25">
      <c r="G3247" s="15"/>
    </row>
    <row r="3248" spans="7:7" s="14" customFormat="1" ht="15.75" x14ac:dyDescent="0.25">
      <c r="G3248" s="15"/>
    </row>
    <row r="3249" spans="7:7" s="14" customFormat="1" ht="15.75" x14ac:dyDescent="0.25">
      <c r="G3249" s="15"/>
    </row>
    <row r="3250" spans="7:7" s="14" customFormat="1" ht="15.75" x14ac:dyDescent="0.25">
      <c r="G3250" s="15"/>
    </row>
    <row r="3251" spans="7:7" s="14" customFormat="1" ht="15.75" x14ac:dyDescent="0.25">
      <c r="G3251" s="15"/>
    </row>
    <row r="3252" spans="7:7" s="14" customFormat="1" ht="15.75" x14ac:dyDescent="0.25">
      <c r="G3252" s="15"/>
    </row>
    <row r="3253" spans="7:7" s="14" customFormat="1" ht="15.75" x14ac:dyDescent="0.25">
      <c r="G3253" s="15"/>
    </row>
    <row r="3254" spans="7:7" s="14" customFormat="1" ht="15.75" x14ac:dyDescent="0.25">
      <c r="G3254" s="15"/>
    </row>
    <row r="3255" spans="7:7" s="14" customFormat="1" ht="15.75" x14ac:dyDescent="0.25">
      <c r="G3255" s="15"/>
    </row>
    <row r="3256" spans="7:7" s="14" customFormat="1" ht="15.75" x14ac:dyDescent="0.25">
      <c r="G3256" s="15"/>
    </row>
    <row r="3257" spans="7:7" s="14" customFormat="1" ht="15.75" x14ac:dyDescent="0.25">
      <c r="G3257" s="15"/>
    </row>
    <row r="3258" spans="7:7" s="14" customFormat="1" ht="15.75" x14ac:dyDescent="0.25">
      <c r="G3258" s="15"/>
    </row>
    <row r="3259" spans="7:7" s="14" customFormat="1" ht="15.75" x14ac:dyDescent="0.25">
      <c r="G3259" s="15"/>
    </row>
    <row r="3260" spans="7:7" s="14" customFormat="1" ht="15.75" x14ac:dyDescent="0.25">
      <c r="G3260" s="15"/>
    </row>
    <row r="3261" spans="7:7" s="14" customFormat="1" ht="15.75" x14ac:dyDescent="0.25">
      <c r="G3261" s="15"/>
    </row>
    <row r="3262" spans="7:7" s="14" customFormat="1" ht="15.75" x14ac:dyDescent="0.25">
      <c r="G3262" s="15"/>
    </row>
    <row r="3263" spans="7:7" s="14" customFormat="1" ht="15.75" x14ac:dyDescent="0.25">
      <c r="G3263" s="15"/>
    </row>
    <row r="3264" spans="7:7" s="14" customFormat="1" ht="15.75" x14ac:dyDescent="0.25">
      <c r="G3264" s="15"/>
    </row>
    <row r="3265" spans="7:7" s="14" customFormat="1" ht="15.75" x14ac:dyDescent="0.25">
      <c r="G3265" s="15"/>
    </row>
    <row r="3266" spans="7:7" s="14" customFormat="1" ht="15.75" x14ac:dyDescent="0.25">
      <c r="G3266" s="15"/>
    </row>
    <row r="3267" spans="7:7" s="14" customFormat="1" ht="15.75" x14ac:dyDescent="0.25">
      <c r="G3267" s="15"/>
    </row>
    <row r="3268" spans="7:7" s="14" customFormat="1" ht="15.75" x14ac:dyDescent="0.25">
      <c r="G3268" s="15"/>
    </row>
    <row r="3269" spans="7:7" s="14" customFormat="1" ht="15.75" x14ac:dyDescent="0.25">
      <c r="G3269" s="15"/>
    </row>
    <row r="3270" spans="7:7" s="14" customFormat="1" ht="15.75" x14ac:dyDescent="0.25">
      <c r="G3270" s="15"/>
    </row>
    <row r="3271" spans="7:7" s="14" customFormat="1" ht="15.75" x14ac:dyDescent="0.25">
      <c r="G3271" s="15"/>
    </row>
    <row r="3272" spans="7:7" s="14" customFormat="1" ht="15.75" x14ac:dyDescent="0.25">
      <c r="G3272" s="15"/>
    </row>
    <row r="3273" spans="7:7" s="14" customFormat="1" ht="15.75" x14ac:dyDescent="0.25">
      <c r="G3273" s="15"/>
    </row>
    <row r="3274" spans="7:7" s="14" customFormat="1" ht="15.75" x14ac:dyDescent="0.25">
      <c r="G3274" s="15"/>
    </row>
    <row r="3275" spans="7:7" s="14" customFormat="1" ht="15.75" x14ac:dyDescent="0.25">
      <c r="G3275" s="15"/>
    </row>
    <row r="3276" spans="7:7" s="14" customFormat="1" ht="15.75" x14ac:dyDescent="0.25">
      <c r="G3276" s="15"/>
    </row>
    <row r="3277" spans="7:7" s="14" customFormat="1" ht="15.75" x14ac:dyDescent="0.25">
      <c r="G3277" s="15"/>
    </row>
    <row r="3278" spans="7:7" s="14" customFormat="1" ht="15.75" x14ac:dyDescent="0.25">
      <c r="G3278" s="15"/>
    </row>
    <row r="3279" spans="7:7" s="14" customFormat="1" ht="15.75" x14ac:dyDescent="0.25">
      <c r="G3279" s="15"/>
    </row>
    <row r="3280" spans="7:7" s="14" customFormat="1" ht="15.75" x14ac:dyDescent="0.25">
      <c r="G3280" s="15"/>
    </row>
    <row r="3281" spans="7:7" s="14" customFormat="1" ht="15.75" x14ac:dyDescent="0.25">
      <c r="G3281" s="15"/>
    </row>
    <row r="3282" spans="7:7" s="14" customFormat="1" ht="15.75" x14ac:dyDescent="0.25">
      <c r="G3282" s="15"/>
    </row>
    <row r="3283" spans="7:7" s="14" customFormat="1" ht="15.75" x14ac:dyDescent="0.25">
      <c r="G3283" s="15"/>
    </row>
    <row r="3284" spans="7:7" s="14" customFormat="1" ht="15.75" x14ac:dyDescent="0.25">
      <c r="G3284" s="15"/>
    </row>
    <row r="3285" spans="7:7" s="14" customFormat="1" ht="15.75" x14ac:dyDescent="0.25">
      <c r="G3285" s="15"/>
    </row>
    <row r="3286" spans="7:7" s="14" customFormat="1" ht="15.75" x14ac:dyDescent="0.25">
      <c r="G3286" s="15"/>
    </row>
    <row r="3287" spans="7:7" s="14" customFormat="1" ht="15.75" x14ac:dyDescent="0.25">
      <c r="G3287" s="15"/>
    </row>
    <row r="3288" spans="7:7" s="14" customFormat="1" ht="15.75" x14ac:dyDescent="0.25">
      <c r="G3288" s="15"/>
    </row>
    <row r="3289" spans="7:7" s="14" customFormat="1" ht="15.75" x14ac:dyDescent="0.25">
      <c r="G3289" s="15"/>
    </row>
    <row r="3290" spans="7:7" s="14" customFormat="1" ht="15.75" x14ac:dyDescent="0.25">
      <c r="G3290" s="15"/>
    </row>
    <row r="3291" spans="7:7" s="14" customFormat="1" ht="15.75" x14ac:dyDescent="0.25">
      <c r="G3291" s="15"/>
    </row>
    <row r="3292" spans="7:7" s="14" customFormat="1" ht="15.75" x14ac:dyDescent="0.25">
      <c r="G3292" s="15"/>
    </row>
    <row r="3293" spans="7:7" s="14" customFormat="1" ht="15.75" x14ac:dyDescent="0.25">
      <c r="G3293" s="15"/>
    </row>
    <row r="3294" spans="7:7" s="14" customFormat="1" ht="15.75" x14ac:dyDescent="0.25">
      <c r="G3294" s="15"/>
    </row>
    <row r="3295" spans="7:7" s="14" customFormat="1" ht="15.75" x14ac:dyDescent="0.25">
      <c r="G3295" s="15"/>
    </row>
    <row r="3296" spans="7:7" s="14" customFormat="1" ht="15.75" x14ac:dyDescent="0.25">
      <c r="G3296" s="15"/>
    </row>
    <row r="3297" spans="7:7" s="14" customFormat="1" ht="15.75" x14ac:dyDescent="0.25">
      <c r="G3297" s="15"/>
    </row>
  </sheetData>
  <autoFilter ref="A10:O141" xr:uid="{00000000-0009-0000-0000-000000000000}"/>
  <sortState xmlns:xlrd2="http://schemas.microsoft.com/office/spreadsheetml/2017/richdata2" ref="A11:O3947">
    <sortCondition ref="C11:C3947"/>
  </sortState>
  <mergeCells count="1">
    <mergeCell ref="C1:C6"/>
  </mergeCells>
  <hyperlinks>
    <hyperlink ref="C9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Vika</cp:lastModifiedBy>
  <dcterms:created xsi:type="dcterms:W3CDTF">2019-03-19T10:22:29Z</dcterms:created>
  <dcterms:modified xsi:type="dcterms:W3CDTF">2021-08-23T10:48:37Z</dcterms:modified>
</cp:coreProperties>
</file>